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0" windowWidth="20730" windowHeight="11760" tabRatio="500"/>
  </bookViews>
  <sheets>
    <sheet name="基本設定" sheetId="1" r:id="rId1"/>
    <sheet name="年間一覧表" sheetId="2" r:id="rId2"/>
    <sheet name="月別集計" sheetId="3" r:id="rId3"/>
    <sheet name="学期別集計" sheetId="4" r:id="rId4"/>
    <sheet name="標準時数" sheetId="5" state="hidden" r:id="rId5"/>
  </sheets>
  <definedNames>
    <definedName name="教科名">基本設定!$M$2:$M$16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" i="2" l="1"/>
  <c r="C104" i="2"/>
  <c r="C4" i="2"/>
  <c r="Q6" i="2"/>
  <c r="R6" i="2"/>
  <c r="S6" i="2"/>
  <c r="T6" i="2"/>
  <c r="U6" i="2"/>
  <c r="S11" i="2"/>
  <c r="X6" i="2"/>
  <c r="Y6" i="2"/>
  <c r="Z6" i="2"/>
  <c r="AA6" i="2"/>
  <c r="AB6" i="2"/>
  <c r="Z11" i="2"/>
  <c r="C14" i="2"/>
  <c r="C19" i="2"/>
  <c r="AE16" i="2"/>
  <c r="AF16" i="2"/>
  <c r="Q16" i="2"/>
  <c r="R16" i="2"/>
  <c r="S16" i="2"/>
  <c r="T16" i="2"/>
  <c r="U16" i="2"/>
  <c r="S21" i="2"/>
  <c r="X16" i="2"/>
  <c r="Y16" i="2"/>
  <c r="Z16" i="2"/>
  <c r="AA16" i="2"/>
  <c r="AB16" i="2"/>
  <c r="Z21" i="2"/>
  <c r="C24" i="2"/>
  <c r="C31" i="2"/>
  <c r="J26" i="2"/>
  <c r="K26" i="2"/>
  <c r="L26" i="2"/>
  <c r="M26" i="2"/>
  <c r="N26" i="2"/>
  <c r="L31" i="2"/>
  <c r="Q26" i="2"/>
  <c r="R26" i="2"/>
  <c r="S26" i="2"/>
  <c r="T26" i="2"/>
  <c r="U26" i="2"/>
  <c r="S31" i="2"/>
  <c r="X26" i="2"/>
  <c r="Y26" i="2"/>
  <c r="Z26" i="2"/>
  <c r="AA26" i="2"/>
  <c r="AB26" i="2"/>
  <c r="Z31" i="2"/>
  <c r="C34" i="2"/>
  <c r="D34" i="2" s="1"/>
  <c r="R36" i="2"/>
  <c r="S36" i="2"/>
  <c r="T36" i="2"/>
  <c r="U36" i="2"/>
  <c r="S41" i="2"/>
  <c r="J36" i="2"/>
  <c r="K36" i="2"/>
  <c r="L36" i="2"/>
  <c r="M36" i="2"/>
  <c r="N36" i="2"/>
  <c r="L41" i="2"/>
  <c r="C44" i="2"/>
  <c r="D44" i="2" s="1"/>
  <c r="E44" i="2" s="1"/>
  <c r="F44" i="2" s="1"/>
  <c r="G44" i="2" s="1"/>
  <c r="H44" i="2" s="1"/>
  <c r="I44" i="2" s="1"/>
  <c r="J44" i="2" s="1"/>
  <c r="K44" i="2" s="1"/>
  <c r="L44" i="2" s="1"/>
  <c r="M44" i="2" s="1"/>
  <c r="N44" i="2" s="1"/>
  <c r="O44" i="2" s="1"/>
  <c r="P44" i="2" s="1"/>
  <c r="Q44" i="2" s="1"/>
  <c r="R44" i="2" s="1"/>
  <c r="S44" i="2" s="1"/>
  <c r="T44" i="2" s="1"/>
  <c r="U44" i="2" s="1"/>
  <c r="V44" i="2" s="1"/>
  <c r="W44" i="2" s="1"/>
  <c r="X44" i="2" s="1"/>
  <c r="Y44" i="2" s="1"/>
  <c r="Z44" i="2" s="1"/>
  <c r="AA44" i="2" s="1"/>
  <c r="AB44" i="2" s="1"/>
  <c r="AC44" i="2" s="1"/>
  <c r="AD44" i="2" s="1"/>
  <c r="AE44" i="2" s="1"/>
  <c r="C54" i="2"/>
  <c r="C58" i="2"/>
  <c r="R56" i="2"/>
  <c r="S56" i="2"/>
  <c r="T56" i="2"/>
  <c r="U56" i="2"/>
  <c r="S61" i="2"/>
  <c r="J56" i="2"/>
  <c r="K56" i="2"/>
  <c r="L56" i="2"/>
  <c r="M56" i="2"/>
  <c r="N56" i="2"/>
  <c r="L61" i="2"/>
  <c r="C64" i="2"/>
  <c r="C66" i="2" s="1"/>
  <c r="D64" i="2"/>
  <c r="C67" i="2"/>
  <c r="C69" i="2"/>
  <c r="C71" i="2"/>
  <c r="K66" i="2"/>
  <c r="L66" i="2"/>
  <c r="M66" i="2"/>
  <c r="N66" i="2"/>
  <c r="L71" i="2"/>
  <c r="R66" i="2"/>
  <c r="S66" i="2"/>
  <c r="T66" i="2"/>
  <c r="U66" i="2"/>
  <c r="S71" i="2"/>
  <c r="X66" i="2"/>
  <c r="Y66" i="2"/>
  <c r="Z66" i="2"/>
  <c r="AA66" i="2"/>
  <c r="AB66" i="2"/>
  <c r="Z71" i="2"/>
  <c r="C74" i="2"/>
  <c r="C76" i="2" s="1"/>
  <c r="C77" i="2"/>
  <c r="C79" i="2"/>
  <c r="C81" i="2"/>
  <c r="L76" i="2"/>
  <c r="M76" i="2"/>
  <c r="N76" i="2"/>
  <c r="L81" i="2"/>
  <c r="X76" i="2"/>
  <c r="Q76" i="2"/>
  <c r="R76" i="2"/>
  <c r="S76" i="2"/>
  <c r="T76" i="2"/>
  <c r="U76" i="2"/>
  <c r="S81" i="2"/>
  <c r="C84" i="2"/>
  <c r="C86" i="2" s="1"/>
  <c r="D84" i="2"/>
  <c r="C87" i="2"/>
  <c r="C89" i="2"/>
  <c r="C91" i="2"/>
  <c r="X86" i="2"/>
  <c r="J86" i="2"/>
  <c r="K86" i="2"/>
  <c r="L86" i="2"/>
  <c r="M86" i="2"/>
  <c r="N86" i="2"/>
  <c r="L91" i="2"/>
  <c r="Q86" i="2"/>
  <c r="R86" i="2"/>
  <c r="S86" i="2"/>
  <c r="T86" i="2"/>
  <c r="U86" i="2"/>
  <c r="S91" i="2"/>
  <c r="C94" i="2"/>
  <c r="C101" i="2" s="1"/>
  <c r="R96" i="2"/>
  <c r="S96" i="2"/>
  <c r="T96" i="2"/>
  <c r="U96" i="2"/>
  <c r="S101" i="2"/>
  <c r="AE96" i="2"/>
  <c r="AF96" i="2"/>
  <c r="X96" i="2"/>
  <c r="Y96" i="2"/>
  <c r="Z96" i="2"/>
  <c r="AA96" i="2"/>
  <c r="AB96" i="2"/>
  <c r="Z101" i="2"/>
  <c r="C107" i="2"/>
  <c r="C110" i="2"/>
  <c r="J106" i="2"/>
  <c r="K106" i="2"/>
  <c r="L106" i="2"/>
  <c r="L111" i="2"/>
  <c r="T106" i="2"/>
  <c r="U106" i="2"/>
  <c r="X106" i="2"/>
  <c r="Y106" i="2"/>
  <c r="Z106" i="2"/>
  <c r="AA106" i="2"/>
  <c r="AB106" i="2"/>
  <c r="Z111" i="2"/>
  <c r="C114" i="2"/>
  <c r="C116" i="2" s="1"/>
  <c r="D114" i="2"/>
  <c r="C117" i="2"/>
  <c r="C119" i="2"/>
  <c r="C121" i="2"/>
  <c r="Q116" i="2"/>
  <c r="R116" i="2"/>
  <c r="S116" i="2"/>
  <c r="T116" i="2"/>
  <c r="U116" i="2"/>
  <c r="S121" i="2"/>
  <c r="J116" i="2"/>
  <c r="K116" i="2"/>
  <c r="L116" i="2"/>
  <c r="M116" i="2"/>
  <c r="N116" i="2"/>
  <c r="L121" i="2"/>
  <c r="AB118" i="3"/>
  <c r="AB89" i="3"/>
  <c r="AB44" i="3"/>
  <c r="AB45" i="3"/>
  <c r="AB46" i="3"/>
  <c r="AB47" i="3"/>
  <c r="AB38" i="3"/>
  <c r="AB39" i="3"/>
  <c r="Q117" i="2"/>
  <c r="R117" i="2"/>
  <c r="S117" i="2"/>
  <c r="T117" i="2"/>
  <c r="U117" i="2"/>
  <c r="Q118" i="2"/>
  <c r="R118" i="2"/>
  <c r="S118" i="2"/>
  <c r="T118" i="2"/>
  <c r="U118" i="2"/>
  <c r="Q119" i="2"/>
  <c r="R119" i="2"/>
  <c r="S119" i="2"/>
  <c r="T119" i="2"/>
  <c r="U119" i="2"/>
  <c r="Q120" i="2"/>
  <c r="R120" i="2"/>
  <c r="S120" i="2"/>
  <c r="T120" i="2"/>
  <c r="U120" i="2"/>
  <c r="Q121" i="2"/>
  <c r="R121" i="2"/>
  <c r="T121" i="2"/>
  <c r="U121" i="2"/>
  <c r="J117" i="2"/>
  <c r="R114" i="3" s="1"/>
  <c r="K117" i="2"/>
  <c r="L117" i="2"/>
  <c r="M117" i="2"/>
  <c r="N117" i="2"/>
  <c r="J118" i="2"/>
  <c r="K118" i="2"/>
  <c r="L118" i="2"/>
  <c r="M118" i="2"/>
  <c r="N118" i="2"/>
  <c r="J119" i="2"/>
  <c r="K119" i="2"/>
  <c r="L119" i="2"/>
  <c r="M119" i="2"/>
  <c r="N119" i="2"/>
  <c r="J120" i="2"/>
  <c r="K120" i="2"/>
  <c r="L120" i="2"/>
  <c r="M120" i="2"/>
  <c r="N120" i="2"/>
  <c r="J121" i="2"/>
  <c r="K121" i="2"/>
  <c r="M121" i="2"/>
  <c r="N121" i="2"/>
  <c r="X107" i="2"/>
  <c r="Y107" i="2"/>
  <c r="Z107" i="2"/>
  <c r="AA107" i="2"/>
  <c r="AB107" i="2"/>
  <c r="X108" i="2"/>
  <c r="Y108" i="2"/>
  <c r="Z108" i="2"/>
  <c r="AA108" i="2"/>
  <c r="AB108" i="2"/>
  <c r="X109" i="2"/>
  <c r="Y109" i="2"/>
  <c r="Z109" i="2"/>
  <c r="AA109" i="2"/>
  <c r="AB109" i="2"/>
  <c r="X110" i="2"/>
  <c r="Y110" i="2"/>
  <c r="Z110" i="2"/>
  <c r="AA110" i="2"/>
  <c r="AB110" i="2"/>
  <c r="X111" i="2"/>
  <c r="Y111" i="2"/>
  <c r="AA111" i="2"/>
  <c r="AB111" i="2"/>
  <c r="T107" i="2"/>
  <c r="U107" i="2"/>
  <c r="T108" i="2"/>
  <c r="U108" i="2"/>
  <c r="T109" i="2"/>
  <c r="U109" i="2"/>
  <c r="T110" i="2"/>
  <c r="U110" i="2"/>
  <c r="T111" i="2"/>
  <c r="U111" i="2"/>
  <c r="J107" i="2"/>
  <c r="K107" i="2"/>
  <c r="L107" i="2"/>
  <c r="J108" i="2"/>
  <c r="K108" i="2"/>
  <c r="L108" i="2"/>
  <c r="J109" i="2"/>
  <c r="K109" i="2"/>
  <c r="L109" i="2"/>
  <c r="J110" i="2"/>
  <c r="K110" i="2"/>
  <c r="L110" i="2"/>
  <c r="J111" i="2"/>
  <c r="K111" i="2"/>
  <c r="AE97" i="2"/>
  <c r="AF97" i="2"/>
  <c r="AE98" i="2"/>
  <c r="AF98" i="2"/>
  <c r="AE99" i="2"/>
  <c r="AF99" i="2"/>
  <c r="AE100" i="2"/>
  <c r="AF100" i="2"/>
  <c r="AE101" i="2"/>
  <c r="AF101" i="2"/>
  <c r="X97" i="2"/>
  <c r="Y97" i="2"/>
  <c r="Z97" i="2"/>
  <c r="J97" i="3" s="1"/>
  <c r="AA97" i="2"/>
  <c r="AB97" i="2"/>
  <c r="X98" i="2"/>
  <c r="Y98" i="2"/>
  <c r="Z98" i="2"/>
  <c r="AA98" i="2"/>
  <c r="AB98" i="2"/>
  <c r="X99" i="2"/>
  <c r="Y99" i="2"/>
  <c r="Z99" i="2"/>
  <c r="AA99" i="2"/>
  <c r="AB99" i="2"/>
  <c r="X100" i="2"/>
  <c r="Y100" i="2"/>
  <c r="Z100" i="2"/>
  <c r="AA100" i="2"/>
  <c r="AB100" i="2"/>
  <c r="X101" i="2"/>
  <c r="Y101" i="2"/>
  <c r="AA101" i="2"/>
  <c r="AB101" i="2"/>
  <c r="R97" i="2"/>
  <c r="S97" i="2"/>
  <c r="T97" i="2"/>
  <c r="U97" i="2"/>
  <c r="R98" i="2"/>
  <c r="S98" i="2"/>
  <c r="T98" i="2"/>
  <c r="U98" i="2"/>
  <c r="R99" i="2"/>
  <c r="S99" i="2"/>
  <c r="T99" i="2"/>
  <c r="U99" i="2"/>
  <c r="R100" i="2"/>
  <c r="S100" i="2"/>
  <c r="T100" i="2"/>
  <c r="U100" i="2"/>
  <c r="R101" i="2"/>
  <c r="T101" i="2"/>
  <c r="U101" i="2"/>
  <c r="R89" i="3"/>
  <c r="X87" i="2"/>
  <c r="X88" i="2"/>
  <c r="X89" i="2"/>
  <c r="X90" i="2"/>
  <c r="X91" i="2"/>
  <c r="Q87" i="2"/>
  <c r="I86" i="3" s="1"/>
  <c r="R87" i="2"/>
  <c r="C86" i="3" s="1"/>
  <c r="S87" i="2"/>
  <c r="T87" i="2"/>
  <c r="U87" i="2"/>
  <c r="Q88" i="2"/>
  <c r="R88" i="2"/>
  <c r="S88" i="2"/>
  <c r="T88" i="2"/>
  <c r="U88" i="2"/>
  <c r="Q89" i="2"/>
  <c r="R89" i="2"/>
  <c r="S89" i="2"/>
  <c r="T89" i="2"/>
  <c r="U89" i="2"/>
  <c r="Q90" i="2"/>
  <c r="R90" i="2"/>
  <c r="S90" i="2"/>
  <c r="T90" i="2"/>
  <c r="U90" i="2"/>
  <c r="Q91" i="2"/>
  <c r="R91" i="2"/>
  <c r="T91" i="2"/>
  <c r="U91" i="2"/>
  <c r="J87" i="2"/>
  <c r="H85" i="3" s="1"/>
  <c r="K87" i="2"/>
  <c r="L87" i="2"/>
  <c r="M87" i="2"/>
  <c r="N87" i="2"/>
  <c r="J88" i="2"/>
  <c r="K88" i="2"/>
  <c r="L88" i="2"/>
  <c r="M88" i="2"/>
  <c r="N88" i="2"/>
  <c r="J89" i="2"/>
  <c r="K89" i="2"/>
  <c r="L89" i="2"/>
  <c r="M89" i="2"/>
  <c r="N89" i="2"/>
  <c r="J90" i="2"/>
  <c r="K90" i="2"/>
  <c r="L90" i="2"/>
  <c r="M90" i="2"/>
  <c r="N90" i="2"/>
  <c r="J91" i="2"/>
  <c r="K91" i="2"/>
  <c r="M91" i="2"/>
  <c r="N91" i="2"/>
  <c r="AA89" i="3"/>
  <c r="Z89" i="3"/>
  <c r="Y89" i="3"/>
  <c r="X89" i="3"/>
  <c r="U89" i="3"/>
  <c r="T89" i="3"/>
  <c r="S89" i="3"/>
  <c r="Q89" i="3"/>
  <c r="O89" i="3"/>
  <c r="N89" i="3"/>
  <c r="M89" i="3"/>
  <c r="L89" i="3"/>
  <c r="K89" i="3"/>
  <c r="J89" i="3"/>
  <c r="I89" i="3"/>
  <c r="H89" i="3"/>
  <c r="G89" i="3"/>
  <c r="F89" i="3"/>
  <c r="E89" i="3"/>
  <c r="P89" i="3" s="1"/>
  <c r="D89" i="3"/>
  <c r="C89" i="3"/>
  <c r="X77" i="2"/>
  <c r="X78" i="2"/>
  <c r="X79" i="2"/>
  <c r="X80" i="2"/>
  <c r="X81" i="2"/>
  <c r="Q77" i="2"/>
  <c r="R77" i="2"/>
  <c r="S77" i="2"/>
  <c r="T77" i="2"/>
  <c r="U77" i="2"/>
  <c r="Q78" i="2"/>
  <c r="R78" i="2"/>
  <c r="S78" i="2"/>
  <c r="T78" i="2"/>
  <c r="U78" i="2"/>
  <c r="Q79" i="2"/>
  <c r="R79" i="2"/>
  <c r="S79" i="2"/>
  <c r="T79" i="2"/>
  <c r="U79" i="2"/>
  <c r="Q80" i="2"/>
  <c r="R80" i="2"/>
  <c r="S80" i="2"/>
  <c r="T80" i="2"/>
  <c r="U80" i="2"/>
  <c r="Q81" i="2"/>
  <c r="R81" i="2"/>
  <c r="T81" i="2"/>
  <c r="U81" i="2"/>
  <c r="L77" i="2"/>
  <c r="M77" i="2"/>
  <c r="N77" i="2"/>
  <c r="L78" i="2"/>
  <c r="M78" i="2"/>
  <c r="N78" i="2"/>
  <c r="L79" i="2"/>
  <c r="M79" i="2"/>
  <c r="N79" i="2"/>
  <c r="L80" i="2"/>
  <c r="M80" i="2"/>
  <c r="N80" i="2"/>
  <c r="M81" i="2"/>
  <c r="N81" i="2"/>
  <c r="X67" i="2"/>
  <c r="Y67" i="2"/>
  <c r="Z67" i="2"/>
  <c r="AA67" i="2"/>
  <c r="AB67" i="2"/>
  <c r="X68" i="2"/>
  <c r="Y68" i="2"/>
  <c r="Z68" i="2"/>
  <c r="AA68" i="2"/>
  <c r="AB68" i="2"/>
  <c r="X69" i="2"/>
  <c r="Y69" i="2"/>
  <c r="Z69" i="2"/>
  <c r="AA69" i="2"/>
  <c r="AB69" i="2"/>
  <c r="X70" i="2"/>
  <c r="Y70" i="2"/>
  <c r="Z70" i="2"/>
  <c r="AA70" i="2"/>
  <c r="AB70" i="2"/>
  <c r="X71" i="2"/>
  <c r="Y71" i="2"/>
  <c r="AA71" i="2"/>
  <c r="AB71" i="2"/>
  <c r="R67" i="2"/>
  <c r="S67" i="2"/>
  <c r="T67" i="2"/>
  <c r="U67" i="2"/>
  <c r="R68" i="2"/>
  <c r="S68" i="2"/>
  <c r="T68" i="2"/>
  <c r="U68" i="2"/>
  <c r="R69" i="2"/>
  <c r="S69" i="2"/>
  <c r="T69" i="2"/>
  <c r="U69" i="2"/>
  <c r="R70" i="2"/>
  <c r="S70" i="2"/>
  <c r="T70" i="2"/>
  <c r="U70" i="2"/>
  <c r="R71" i="2"/>
  <c r="T71" i="2"/>
  <c r="U71" i="2"/>
  <c r="K67" i="2"/>
  <c r="L67" i="2"/>
  <c r="M67" i="2"/>
  <c r="N67" i="2"/>
  <c r="K68" i="2"/>
  <c r="L68" i="2"/>
  <c r="M68" i="2"/>
  <c r="N68" i="2"/>
  <c r="K69" i="2"/>
  <c r="L69" i="2"/>
  <c r="M69" i="2"/>
  <c r="N69" i="2"/>
  <c r="K70" i="2"/>
  <c r="L70" i="2"/>
  <c r="M70" i="2"/>
  <c r="N70" i="2"/>
  <c r="K71" i="2"/>
  <c r="M71" i="2"/>
  <c r="N71" i="2"/>
  <c r="R47" i="3"/>
  <c r="R46" i="3"/>
  <c r="R45" i="3"/>
  <c r="R44" i="3"/>
  <c r="AA47" i="3"/>
  <c r="Z47" i="3"/>
  <c r="Y47" i="3"/>
  <c r="X47" i="3"/>
  <c r="AA46" i="3"/>
  <c r="Z46" i="3"/>
  <c r="Y46" i="3"/>
  <c r="X46" i="3"/>
  <c r="AA45" i="3"/>
  <c r="Z45" i="3"/>
  <c r="Y45" i="3"/>
  <c r="X45" i="3"/>
  <c r="AA44" i="3"/>
  <c r="Z44" i="3"/>
  <c r="Y44" i="3"/>
  <c r="X44" i="3"/>
  <c r="U47" i="3"/>
  <c r="T47" i="3"/>
  <c r="S47" i="3"/>
  <c r="U46" i="3"/>
  <c r="T46" i="3"/>
  <c r="V46" i="3" s="1"/>
  <c r="S46" i="3"/>
  <c r="U45" i="3"/>
  <c r="T45" i="3"/>
  <c r="S45" i="3"/>
  <c r="V45" i="3" s="1"/>
  <c r="W45" i="3" s="1"/>
  <c r="AC45" i="3" s="1"/>
  <c r="U44" i="3"/>
  <c r="T44" i="3"/>
  <c r="S44" i="3"/>
  <c r="Q47" i="3"/>
  <c r="V47" i="3" s="1"/>
  <c r="Q46" i="3"/>
  <c r="Q45" i="3"/>
  <c r="Q44" i="3"/>
  <c r="O47" i="3"/>
  <c r="N47" i="3"/>
  <c r="M47" i="3"/>
  <c r="L47" i="3"/>
  <c r="K47" i="3"/>
  <c r="J47" i="3"/>
  <c r="I47" i="3"/>
  <c r="H47" i="3"/>
  <c r="G47" i="3"/>
  <c r="F47" i="3"/>
  <c r="E47" i="3"/>
  <c r="D47" i="3"/>
  <c r="O46" i="3"/>
  <c r="N46" i="3"/>
  <c r="M46" i="3"/>
  <c r="L46" i="3"/>
  <c r="K46" i="3"/>
  <c r="J46" i="3"/>
  <c r="I46" i="3"/>
  <c r="H46" i="3"/>
  <c r="G46" i="3"/>
  <c r="P46" i="3" s="1"/>
  <c r="W46" i="3" s="1"/>
  <c r="AC46" i="3" s="1"/>
  <c r="F46" i="3"/>
  <c r="E46" i="3"/>
  <c r="D46" i="3"/>
  <c r="O45" i="3"/>
  <c r="N45" i="3"/>
  <c r="M45" i="3"/>
  <c r="L45" i="3"/>
  <c r="K45" i="3"/>
  <c r="J45" i="3"/>
  <c r="I45" i="3"/>
  <c r="H45" i="3"/>
  <c r="G45" i="3"/>
  <c r="F45" i="3"/>
  <c r="E45" i="3"/>
  <c r="D45" i="3"/>
  <c r="P45" i="3" s="1"/>
  <c r="O44" i="3"/>
  <c r="N44" i="3"/>
  <c r="M44" i="3"/>
  <c r="L44" i="3"/>
  <c r="K44" i="3"/>
  <c r="J44" i="3"/>
  <c r="I44" i="3"/>
  <c r="H44" i="3"/>
  <c r="G44" i="3"/>
  <c r="F44" i="3"/>
  <c r="E44" i="3"/>
  <c r="D44" i="3"/>
  <c r="C47" i="3"/>
  <c r="C46" i="3"/>
  <c r="C45" i="3"/>
  <c r="C44" i="3"/>
  <c r="P44" i="3" s="1"/>
  <c r="W44" i="3" s="1"/>
  <c r="AC44" i="3" s="1"/>
  <c r="C39" i="3"/>
  <c r="P39" i="3" s="1"/>
  <c r="C38" i="3"/>
  <c r="R37" i="2"/>
  <c r="S37" i="2"/>
  <c r="T37" i="2"/>
  <c r="U37" i="2"/>
  <c r="R38" i="2"/>
  <c r="S38" i="2"/>
  <c r="T38" i="2"/>
  <c r="U38" i="2"/>
  <c r="R39" i="2"/>
  <c r="S39" i="2"/>
  <c r="T39" i="2"/>
  <c r="U39" i="2"/>
  <c r="R40" i="2"/>
  <c r="S40" i="2"/>
  <c r="T40" i="2"/>
  <c r="U40" i="2"/>
  <c r="R41" i="2"/>
  <c r="T41" i="2"/>
  <c r="U41" i="2"/>
  <c r="J37" i="2"/>
  <c r="K37" i="2"/>
  <c r="L37" i="2"/>
  <c r="R35" i="3" s="1"/>
  <c r="M37" i="2"/>
  <c r="N37" i="2"/>
  <c r="J38" i="2"/>
  <c r="K38" i="2"/>
  <c r="L38" i="2"/>
  <c r="M38" i="2"/>
  <c r="N38" i="2"/>
  <c r="J39" i="2"/>
  <c r="K39" i="2"/>
  <c r="L39" i="2"/>
  <c r="M39" i="2"/>
  <c r="N39" i="2"/>
  <c r="J40" i="2"/>
  <c r="K40" i="2"/>
  <c r="L40" i="2"/>
  <c r="M40" i="2"/>
  <c r="N40" i="2"/>
  <c r="J41" i="2"/>
  <c r="K41" i="2"/>
  <c r="M41" i="2"/>
  <c r="N41" i="2"/>
  <c r="X27" i="2"/>
  <c r="Y27" i="2"/>
  <c r="Z27" i="2"/>
  <c r="I27" i="3" s="1"/>
  <c r="AA27" i="2"/>
  <c r="J27" i="3" s="1"/>
  <c r="AB27" i="2"/>
  <c r="X28" i="2"/>
  <c r="Y28" i="2"/>
  <c r="Z28" i="2"/>
  <c r="AA28" i="2"/>
  <c r="AB28" i="2"/>
  <c r="X29" i="2"/>
  <c r="Y29" i="2"/>
  <c r="Z29" i="2"/>
  <c r="AA29" i="2"/>
  <c r="AB29" i="2"/>
  <c r="X30" i="2"/>
  <c r="Y30" i="2"/>
  <c r="Z30" i="2"/>
  <c r="AA30" i="2"/>
  <c r="AB30" i="2"/>
  <c r="X31" i="2"/>
  <c r="Y31" i="2"/>
  <c r="AA31" i="2"/>
  <c r="AB31" i="2"/>
  <c r="Q27" i="2"/>
  <c r="R27" i="2"/>
  <c r="S27" i="2"/>
  <c r="T27" i="2"/>
  <c r="O26" i="3" s="1"/>
  <c r="U27" i="2"/>
  <c r="Q28" i="2"/>
  <c r="R28" i="2"/>
  <c r="S28" i="2"/>
  <c r="T28" i="2"/>
  <c r="U28" i="2"/>
  <c r="Q29" i="2"/>
  <c r="R29" i="2"/>
  <c r="S29" i="2"/>
  <c r="T29" i="2"/>
  <c r="U29" i="2"/>
  <c r="Q30" i="2"/>
  <c r="R30" i="2"/>
  <c r="S30" i="2"/>
  <c r="T30" i="2"/>
  <c r="U30" i="2"/>
  <c r="Q31" i="2"/>
  <c r="R31" i="2"/>
  <c r="T31" i="2"/>
  <c r="U31" i="2"/>
  <c r="J27" i="2"/>
  <c r="K27" i="2"/>
  <c r="L27" i="2"/>
  <c r="I25" i="3" s="1"/>
  <c r="M27" i="2"/>
  <c r="N27" i="2"/>
  <c r="J28" i="2"/>
  <c r="K28" i="2"/>
  <c r="L28" i="2"/>
  <c r="M28" i="2"/>
  <c r="N28" i="2"/>
  <c r="J29" i="2"/>
  <c r="K29" i="2"/>
  <c r="L29" i="2"/>
  <c r="M29" i="2"/>
  <c r="N29" i="2"/>
  <c r="J30" i="2"/>
  <c r="K30" i="2"/>
  <c r="L30" i="2"/>
  <c r="M30" i="2"/>
  <c r="N30" i="2"/>
  <c r="J31" i="2"/>
  <c r="K31" i="2"/>
  <c r="M31" i="2"/>
  <c r="N31" i="2"/>
  <c r="AE17" i="2"/>
  <c r="AF17" i="2"/>
  <c r="AE18" i="2"/>
  <c r="AF18" i="2"/>
  <c r="AE19" i="2"/>
  <c r="AF19" i="2"/>
  <c r="AE20" i="2"/>
  <c r="AF20" i="2"/>
  <c r="AE21" i="2"/>
  <c r="AF21" i="2"/>
  <c r="X17" i="2"/>
  <c r="AB17" i="3" s="1"/>
  <c r="Y17" i="2"/>
  <c r="D17" i="3" s="1"/>
  <c r="Z17" i="2"/>
  <c r="AA17" i="2"/>
  <c r="AB17" i="2"/>
  <c r="X18" i="2"/>
  <c r="Y18" i="2"/>
  <c r="Z18" i="2"/>
  <c r="AA18" i="2"/>
  <c r="AB18" i="2"/>
  <c r="X19" i="2"/>
  <c r="Y19" i="2"/>
  <c r="Z19" i="2"/>
  <c r="AA19" i="2"/>
  <c r="AB19" i="2"/>
  <c r="X20" i="2"/>
  <c r="Y20" i="2"/>
  <c r="Z20" i="2"/>
  <c r="AA20" i="2"/>
  <c r="AB20" i="2"/>
  <c r="X21" i="2"/>
  <c r="Y21" i="2"/>
  <c r="AA21" i="2"/>
  <c r="AB21" i="2"/>
  <c r="Q17" i="2"/>
  <c r="R17" i="2"/>
  <c r="J16" i="3" s="1"/>
  <c r="S17" i="2"/>
  <c r="T17" i="2"/>
  <c r="U17" i="2"/>
  <c r="Q18" i="2"/>
  <c r="R18" i="2"/>
  <c r="S18" i="2"/>
  <c r="T18" i="2"/>
  <c r="U18" i="2"/>
  <c r="Q19" i="2"/>
  <c r="R19" i="2"/>
  <c r="S19" i="2"/>
  <c r="T19" i="2"/>
  <c r="U19" i="2"/>
  <c r="Q20" i="2"/>
  <c r="R20" i="2"/>
  <c r="S20" i="2"/>
  <c r="T20" i="2"/>
  <c r="U20" i="2"/>
  <c r="Q21" i="2"/>
  <c r="R21" i="2"/>
  <c r="T21" i="2"/>
  <c r="U21" i="2"/>
  <c r="X7" i="2"/>
  <c r="D7" i="3" s="1"/>
  <c r="Y7" i="2"/>
  <c r="F7" i="3" s="1"/>
  <c r="Z7" i="2"/>
  <c r="AA7" i="2"/>
  <c r="AB7" i="2"/>
  <c r="X8" i="2"/>
  <c r="Y8" i="2"/>
  <c r="Z8" i="2"/>
  <c r="AA8" i="2"/>
  <c r="AB8" i="2"/>
  <c r="X9" i="2"/>
  <c r="Y9" i="2"/>
  <c r="Z9" i="2"/>
  <c r="AA9" i="2"/>
  <c r="AB9" i="2"/>
  <c r="X10" i="2"/>
  <c r="Y10" i="2"/>
  <c r="Z10" i="2"/>
  <c r="AA10" i="2"/>
  <c r="AB10" i="2"/>
  <c r="X11" i="2"/>
  <c r="Y11" i="2"/>
  <c r="AA11" i="2"/>
  <c r="AB11" i="2"/>
  <c r="Q7" i="2"/>
  <c r="F6" i="3" s="1"/>
  <c r="R7" i="2"/>
  <c r="D6" i="3" s="1"/>
  <c r="S7" i="2"/>
  <c r="T7" i="2"/>
  <c r="U7" i="2"/>
  <c r="Q8" i="2"/>
  <c r="R8" i="2"/>
  <c r="S8" i="2"/>
  <c r="T8" i="2"/>
  <c r="U8" i="2"/>
  <c r="Q9" i="2"/>
  <c r="R9" i="2"/>
  <c r="S9" i="2"/>
  <c r="T9" i="2"/>
  <c r="U9" i="2"/>
  <c r="Q10" i="2"/>
  <c r="R10" i="2"/>
  <c r="S10" i="2"/>
  <c r="T10" i="2"/>
  <c r="U10" i="2"/>
  <c r="Q11" i="2"/>
  <c r="R11" i="2"/>
  <c r="T11" i="2"/>
  <c r="U11" i="2"/>
  <c r="P28" i="4"/>
  <c r="J57" i="2"/>
  <c r="K57" i="2"/>
  <c r="L57" i="2"/>
  <c r="M57" i="2"/>
  <c r="N57" i="2"/>
  <c r="J58" i="2"/>
  <c r="K58" i="2"/>
  <c r="L58" i="2"/>
  <c r="M58" i="2"/>
  <c r="N58" i="2"/>
  <c r="J59" i="2"/>
  <c r="K59" i="2"/>
  <c r="L59" i="2"/>
  <c r="M59" i="2"/>
  <c r="N59" i="2"/>
  <c r="J60" i="2"/>
  <c r="K60" i="2"/>
  <c r="L60" i="2"/>
  <c r="M60" i="2"/>
  <c r="N60" i="2"/>
  <c r="J61" i="2"/>
  <c r="K61" i="2"/>
  <c r="M61" i="2"/>
  <c r="N61" i="2"/>
  <c r="R57" i="2"/>
  <c r="S57" i="2"/>
  <c r="T57" i="2"/>
  <c r="U57" i="2"/>
  <c r="R58" i="2"/>
  <c r="S58" i="2"/>
  <c r="T58" i="2"/>
  <c r="U58" i="2"/>
  <c r="R59" i="2"/>
  <c r="S59" i="2"/>
  <c r="T59" i="2"/>
  <c r="U59" i="2"/>
  <c r="R60" i="2"/>
  <c r="S60" i="2"/>
  <c r="T60" i="2"/>
  <c r="U60" i="2"/>
  <c r="R61" i="2"/>
  <c r="T61" i="2"/>
  <c r="U61" i="2"/>
  <c r="D39" i="3"/>
  <c r="D38" i="3"/>
  <c r="D118" i="3"/>
  <c r="D28" i="4"/>
  <c r="E39" i="3"/>
  <c r="E38" i="3"/>
  <c r="E118" i="3"/>
  <c r="E28" i="4"/>
  <c r="F39" i="3"/>
  <c r="F38" i="3"/>
  <c r="F118" i="3"/>
  <c r="F28" i="4"/>
  <c r="G39" i="3"/>
  <c r="G38" i="3"/>
  <c r="G118" i="3"/>
  <c r="G28" i="4"/>
  <c r="H39" i="3"/>
  <c r="H38" i="3"/>
  <c r="H118" i="3"/>
  <c r="H28" i="4"/>
  <c r="I39" i="3"/>
  <c r="I38" i="3"/>
  <c r="I118" i="3"/>
  <c r="I28" i="4"/>
  <c r="J39" i="3"/>
  <c r="J38" i="3"/>
  <c r="P38" i="3" s="1"/>
  <c r="J118" i="3"/>
  <c r="J28" i="4"/>
  <c r="K39" i="3"/>
  <c r="K38" i="3"/>
  <c r="K118" i="3"/>
  <c r="K28" i="4"/>
  <c r="L39" i="3"/>
  <c r="L38" i="3"/>
  <c r="L118" i="3"/>
  <c r="L28" i="4"/>
  <c r="M39" i="3"/>
  <c r="M38" i="3"/>
  <c r="M118" i="3"/>
  <c r="M28" i="4"/>
  <c r="N39" i="3"/>
  <c r="N38" i="3"/>
  <c r="N118" i="3"/>
  <c r="N28" i="4"/>
  <c r="O39" i="3"/>
  <c r="O38" i="3"/>
  <c r="O118" i="3"/>
  <c r="O28" i="4"/>
  <c r="P47" i="3"/>
  <c r="W47" i="3" s="1"/>
  <c r="AC47" i="3" s="1"/>
  <c r="Q39" i="3"/>
  <c r="Q38" i="3"/>
  <c r="Q118" i="3"/>
  <c r="V118" i="3" s="1"/>
  <c r="W118" i="3" s="1"/>
  <c r="AC118" i="3" s="1"/>
  <c r="R39" i="3"/>
  <c r="R38" i="3"/>
  <c r="R118" i="3"/>
  <c r="S39" i="3"/>
  <c r="V39" i="3" s="1"/>
  <c r="S38" i="3"/>
  <c r="S118" i="3"/>
  <c r="T39" i="3"/>
  <c r="T38" i="3"/>
  <c r="T118" i="3"/>
  <c r="U39" i="3"/>
  <c r="U38" i="3"/>
  <c r="U118" i="3"/>
  <c r="V44" i="3"/>
  <c r="X39" i="3"/>
  <c r="X38" i="3"/>
  <c r="X118" i="3"/>
  <c r="Y39" i="3"/>
  <c r="Y38" i="3"/>
  <c r="Y118" i="3"/>
  <c r="Z39" i="3"/>
  <c r="Z38" i="3"/>
  <c r="Z118" i="3"/>
  <c r="AA39" i="3"/>
  <c r="AA38" i="3"/>
  <c r="AA118" i="3"/>
  <c r="V28" i="4"/>
  <c r="C28" i="4"/>
  <c r="C118" i="3"/>
  <c r="P118" i="3"/>
  <c r="N55" i="3" l="1"/>
  <c r="O55" i="3"/>
  <c r="F55" i="3"/>
  <c r="G55" i="3"/>
  <c r="D25" i="3"/>
  <c r="K35" i="3"/>
  <c r="AA35" i="3"/>
  <c r="C35" i="3"/>
  <c r="S35" i="3"/>
  <c r="W39" i="3"/>
  <c r="AC39" i="3" s="1"/>
  <c r="I76" i="3"/>
  <c r="Y76" i="3"/>
  <c r="Q76" i="3"/>
  <c r="G85" i="3"/>
  <c r="G86" i="3"/>
  <c r="X86" i="3"/>
  <c r="V89" i="3"/>
  <c r="W89" i="3" s="1"/>
  <c r="AC89" i="3" s="1"/>
  <c r="Q97" i="3"/>
  <c r="M107" i="3"/>
  <c r="Z114" i="3"/>
  <c r="J114" i="3"/>
  <c r="R7" i="3"/>
  <c r="L6" i="3"/>
  <c r="L17" i="3"/>
  <c r="F16" i="3"/>
  <c r="E27" i="3"/>
  <c r="J26" i="3"/>
  <c r="J55" i="3"/>
  <c r="F17" i="3"/>
  <c r="N7" i="3"/>
  <c r="X6" i="3"/>
  <c r="H6" i="3"/>
  <c r="X17" i="3"/>
  <c r="H17" i="3"/>
  <c r="R16" i="3"/>
  <c r="R27" i="3"/>
  <c r="Z26" i="3"/>
  <c r="V38" i="3"/>
  <c r="W38" i="3" s="1"/>
  <c r="AC38" i="3" s="1"/>
  <c r="Z7" i="3"/>
  <c r="J7" i="3"/>
  <c r="T6" i="3"/>
  <c r="T17" i="3"/>
  <c r="N16" i="3"/>
  <c r="N27" i="3"/>
  <c r="T26" i="3"/>
  <c r="T25" i="3"/>
  <c r="H25" i="3"/>
  <c r="G35" i="3"/>
  <c r="I97" i="3"/>
  <c r="Z16" i="3"/>
  <c r="Z27" i="3"/>
  <c r="L25" i="3"/>
  <c r="C16" i="3"/>
  <c r="AB76" i="3"/>
  <c r="C76" i="3"/>
  <c r="G76" i="3"/>
  <c r="K76" i="3"/>
  <c r="O76" i="3"/>
  <c r="S76" i="3"/>
  <c r="AA76" i="3"/>
  <c r="F76" i="3"/>
  <c r="J76" i="3"/>
  <c r="N76" i="3"/>
  <c r="R76" i="3"/>
  <c r="Z76" i="3"/>
  <c r="AB26" i="3"/>
  <c r="E26" i="3"/>
  <c r="I26" i="3"/>
  <c r="M26" i="3"/>
  <c r="Q26" i="3"/>
  <c r="U26" i="3"/>
  <c r="Y26" i="3"/>
  <c r="D26" i="3"/>
  <c r="H26" i="3"/>
  <c r="W28" i="4"/>
  <c r="I107" i="3"/>
  <c r="Q107" i="3"/>
  <c r="Y107" i="3"/>
  <c r="U7" i="3"/>
  <c r="M7" i="3"/>
  <c r="E7" i="3"/>
  <c r="S6" i="3"/>
  <c r="K6" i="3"/>
  <c r="C6" i="3"/>
  <c r="S17" i="3"/>
  <c r="K17" i="3"/>
  <c r="C17" i="3"/>
  <c r="U16" i="3"/>
  <c r="M16" i="3"/>
  <c r="E16" i="3"/>
  <c r="U27" i="3"/>
  <c r="M27" i="3"/>
  <c r="D27" i="3"/>
  <c r="S26" i="3"/>
  <c r="G26" i="3"/>
  <c r="Q25" i="3"/>
  <c r="Z35" i="3"/>
  <c r="J35" i="3"/>
  <c r="M86" i="3"/>
  <c r="C27" i="3"/>
  <c r="G27" i="3"/>
  <c r="AA7" i="3"/>
  <c r="S7" i="3"/>
  <c r="O7" i="3"/>
  <c r="K7" i="3"/>
  <c r="G7" i="3"/>
  <c r="C7" i="3"/>
  <c r="Y6" i="3"/>
  <c r="U6" i="3"/>
  <c r="Q6" i="3"/>
  <c r="V6" i="3" s="1"/>
  <c r="M6" i="3"/>
  <c r="I6" i="3"/>
  <c r="E6" i="3"/>
  <c r="Y17" i="3"/>
  <c r="U17" i="3"/>
  <c r="Q17" i="3"/>
  <c r="V17" i="3" s="1"/>
  <c r="M17" i="3"/>
  <c r="I17" i="3"/>
  <c r="E17" i="3"/>
  <c r="AA16" i="3"/>
  <c r="S16" i="3"/>
  <c r="O16" i="3"/>
  <c r="K16" i="3"/>
  <c r="G16" i="3"/>
  <c r="AA27" i="3"/>
  <c r="S27" i="3"/>
  <c r="O27" i="3"/>
  <c r="K27" i="3"/>
  <c r="F27" i="3"/>
  <c r="AA26" i="3"/>
  <c r="K26" i="3"/>
  <c r="C26" i="3"/>
  <c r="U25" i="3"/>
  <c r="M25" i="3"/>
  <c r="E25" i="3"/>
  <c r="N35" i="3"/>
  <c r="F35" i="3"/>
  <c r="Z55" i="3"/>
  <c r="R55" i="3"/>
  <c r="T76" i="3"/>
  <c r="L76" i="3"/>
  <c r="D76" i="3"/>
  <c r="Y86" i="3"/>
  <c r="Q86" i="3"/>
  <c r="X85" i="3"/>
  <c r="R97" i="3"/>
  <c r="N107" i="3"/>
  <c r="Q114" i="3"/>
  <c r="D114" i="3"/>
  <c r="H114" i="3"/>
  <c r="L114" i="3"/>
  <c r="T114" i="3"/>
  <c r="X114" i="3"/>
  <c r="C114" i="3"/>
  <c r="G114" i="3"/>
  <c r="K114" i="3"/>
  <c r="O114" i="3"/>
  <c r="S114" i="3"/>
  <c r="AA114" i="3"/>
  <c r="F114" i="3"/>
  <c r="N114" i="3"/>
  <c r="E114" i="3"/>
  <c r="M114" i="3"/>
  <c r="U114" i="3"/>
  <c r="AB97" i="3"/>
  <c r="D97" i="3"/>
  <c r="H97" i="3"/>
  <c r="L97" i="3"/>
  <c r="T97" i="3"/>
  <c r="X97" i="3"/>
  <c r="C97" i="3"/>
  <c r="G97" i="3"/>
  <c r="K97" i="3"/>
  <c r="O97" i="3"/>
  <c r="S97" i="3"/>
  <c r="AA97" i="3"/>
  <c r="F97" i="3"/>
  <c r="N97" i="3"/>
  <c r="E97" i="3"/>
  <c r="M97" i="3"/>
  <c r="U97" i="3"/>
  <c r="D54" i="2"/>
  <c r="C57" i="2"/>
  <c r="C61" i="2"/>
  <c r="C56" i="2"/>
  <c r="C60" i="2"/>
  <c r="C59" i="2"/>
  <c r="E35" i="3"/>
  <c r="I35" i="3"/>
  <c r="M35" i="3"/>
  <c r="Q35" i="3"/>
  <c r="U35" i="3"/>
  <c r="Y35" i="3"/>
  <c r="D35" i="3"/>
  <c r="H35" i="3"/>
  <c r="L35" i="3"/>
  <c r="T35" i="3"/>
  <c r="X35" i="3"/>
  <c r="AB25" i="3"/>
  <c r="C25" i="3"/>
  <c r="G25" i="3"/>
  <c r="K25" i="3"/>
  <c r="O25" i="3"/>
  <c r="S25" i="3"/>
  <c r="AA25" i="3"/>
  <c r="F25" i="3"/>
  <c r="J25" i="3"/>
  <c r="N25" i="3"/>
  <c r="R25" i="3"/>
  <c r="Z25" i="3"/>
  <c r="AB7" i="3"/>
  <c r="C96" i="2"/>
  <c r="C97" i="2"/>
  <c r="C99" i="2"/>
  <c r="D94" i="2"/>
  <c r="AB16" i="3"/>
  <c r="C6" i="2"/>
  <c r="C7" i="2"/>
  <c r="D4" i="2"/>
  <c r="C11" i="2"/>
  <c r="C9" i="2"/>
  <c r="Y7" i="3"/>
  <c r="Q7" i="3"/>
  <c r="I7" i="3"/>
  <c r="AA6" i="3"/>
  <c r="O6" i="3"/>
  <c r="G6" i="3"/>
  <c r="AA17" i="3"/>
  <c r="O17" i="3"/>
  <c r="G17" i="3"/>
  <c r="Y16" i="3"/>
  <c r="Q16" i="3"/>
  <c r="V16" i="3" s="1"/>
  <c r="I16" i="3"/>
  <c r="Y27" i="3"/>
  <c r="Q27" i="3"/>
  <c r="X26" i="3"/>
  <c r="N26" i="3"/>
  <c r="Y25" i="3"/>
  <c r="X76" i="3"/>
  <c r="H76" i="3"/>
  <c r="U86" i="3"/>
  <c r="Z97" i="3"/>
  <c r="F107" i="3"/>
  <c r="Y114" i="3"/>
  <c r="I114" i="3"/>
  <c r="AB55" i="3"/>
  <c r="E55" i="3"/>
  <c r="I55" i="3"/>
  <c r="M55" i="3"/>
  <c r="Q55" i="3"/>
  <c r="V55" i="3" s="1"/>
  <c r="U55" i="3"/>
  <c r="Y55" i="3"/>
  <c r="D55" i="3"/>
  <c r="H55" i="3"/>
  <c r="L55" i="3"/>
  <c r="T55" i="3"/>
  <c r="X55" i="3"/>
  <c r="D104" i="2"/>
  <c r="C109" i="2"/>
  <c r="C108" i="2"/>
  <c r="C111" i="2"/>
  <c r="C106" i="2"/>
  <c r="D85" i="3"/>
  <c r="L85" i="3"/>
  <c r="T85" i="3"/>
  <c r="AA85" i="3"/>
  <c r="AB85" i="3"/>
  <c r="C85" i="3"/>
  <c r="K85" i="3"/>
  <c r="S85" i="3"/>
  <c r="Y85" i="3"/>
  <c r="F86" i="3"/>
  <c r="K86" i="3"/>
  <c r="O86" i="3"/>
  <c r="S86" i="3"/>
  <c r="AA86" i="3"/>
  <c r="E86" i="3"/>
  <c r="J86" i="3"/>
  <c r="N86" i="3"/>
  <c r="R86" i="3"/>
  <c r="Z86" i="3"/>
  <c r="X7" i="3"/>
  <c r="T7" i="3"/>
  <c r="L7" i="3"/>
  <c r="H7" i="3"/>
  <c r="Z6" i="3"/>
  <c r="R6" i="3"/>
  <c r="N6" i="3"/>
  <c r="J6" i="3"/>
  <c r="Z17" i="3"/>
  <c r="R17" i="3"/>
  <c r="N17" i="3"/>
  <c r="J17" i="3"/>
  <c r="X16" i="3"/>
  <c r="T16" i="3"/>
  <c r="L16" i="3"/>
  <c r="H16" i="3"/>
  <c r="D16" i="3"/>
  <c r="X27" i="3"/>
  <c r="T27" i="3"/>
  <c r="L27" i="3"/>
  <c r="H27" i="3"/>
  <c r="R26" i="3"/>
  <c r="L26" i="3"/>
  <c r="F26" i="3"/>
  <c r="X25" i="3"/>
  <c r="O35" i="3"/>
  <c r="AA55" i="3"/>
  <c r="S55" i="3"/>
  <c r="K55" i="3"/>
  <c r="C55" i="3"/>
  <c r="U76" i="3"/>
  <c r="M76" i="3"/>
  <c r="E76" i="3"/>
  <c r="T86" i="3"/>
  <c r="L86" i="3"/>
  <c r="O85" i="3"/>
  <c r="Y97" i="3"/>
  <c r="U107" i="3"/>
  <c r="E107" i="3"/>
  <c r="AB114" i="3"/>
  <c r="D116" i="2"/>
  <c r="D120" i="2"/>
  <c r="D66" i="2"/>
  <c r="D68" i="2"/>
  <c r="D70" i="2"/>
  <c r="AB6" i="3"/>
  <c r="D107" i="3"/>
  <c r="H107" i="3"/>
  <c r="L107" i="3"/>
  <c r="T107" i="3"/>
  <c r="X107" i="3"/>
  <c r="AB107" i="3"/>
  <c r="C107" i="3"/>
  <c r="P107" i="3" s="1"/>
  <c r="G107" i="3"/>
  <c r="K107" i="3"/>
  <c r="O107" i="3"/>
  <c r="S107" i="3"/>
  <c r="AA107" i="3"/>
  <c r="F85" i="3"/>
  <c r="J85" i="3"/>
  <c r="N85" i="3"/>
  <c r="R85" i="3"/>
  <c r="Z85" i="3"/>
  <c r="E85" i="3"/>
  <c r="I85" i="3"/>
  <c r="M85" i="3"/>
  <c r="Q85" i="3"/>
  <c r="V85" i="3" s="1"/>
  <c r="U85" i="3"/>
  <c r="AB35" i="3"/>
  <c r="AB27" i="3"/>
  <c r="C27" i="2"/>
  <c r="D24" i="2"/>
  <c r="E24" i="2" s="1"/>
  <c r="D14" i="2"/>
  <c r="C17" i="2"/>
  <c r="C21" i="2"/>
  <c r="C16" i="2"/>
  <c r="C18" i="2"/>
  <c r="Z107" i="3"/>
  <c r="R107" i="3"/>
  <c r="J107" i="3"/>
  <c r="AB86" i="3"/>
  <c r="D86" i="3"/>
  <c r="P86" i="3" s="1"/>
  <c r="H86" i="3"/>
  <c r="D86" i="2"/>
  <c r="D90" i="2"/>
  <c r="C29" i="2"/>
  <c r="C20" i="2"/>
  <c r="C80" i="2"/>
  <c r="D74" i="2"/>
  <c r="D118" i="2"/>
  <c r="E114" i="2"/>
  <c r="D100" i="2"/>
  <c r="E94" i="2"/>
  <c r="E98" i="2" s="1"/>
  <c r="D88" i="2"/>
  <c r="E84" i="2"/>
  <c r="E88" i="2" s="1"/>
  <c r="D71" i="2"/>
  <c r="C70" i="2"/>
  <c r="D69" i="2"/>
  <c r="C68" i="2"/>
  <c r="D67" i="2"/>
  <c r="E64" i="2"/>
  <c r="C39" i="2"/>
  <c r="D30" i="2"/>
  <c r="D8" i="2"/>
  <c r="E4" i="2"/>
  <c r="D121" i="2"/>
  <c r="E120" i="2"/>
  <c r="C120" i="2"/>
  <c r="D119" i="2"/>
  <c r="E118" i="2"/>
  <c r="C118" i="2"/>
  <c r="D117" i="2"/>
  <c r="D101" i="2"/>
  <c r="C100" i="2"/>
  <c r="D99" i="2"/>
  <c r="C98" i="2"/>
  <c r="D97" i="2"/>
  <c r="D91" i="2"/>
  <c r="E90" i="2"/>
  <c r="C90" i="2"/>
  <c r="D89" i="2"/>
  <c r="C88" i="2"/>
  <c r="D87" i="2"/>
  <c r="AE46" i="2"/>
  <c r="AE48" i="2"/>
  <c r="AE50" i="2"/>
  <c r="AE49" i="2"/>
  <c r="AF44" i="2"/>
  <c r="AE47" i="2"/>
  <c r="AE51" i="2"/>
  <c r="D36" i="2"/>
  <c r="D37" i="2"/>
  <c r="D39" i="2"/>
  <c r="D41" i="2"/>
  <c r="E34" i="2"/>
  <c r="D38" i="2"/>
  <c r="D40" i="2"/>
  <c r="E26" i="2"/>
  <c r="E28" i="2"/>
  <c r="E30" i="2"/>
  <c r="F24" i="2"/>
  <c r="E29" i="2"/>
  <c r="E27" i="2"/>
  <c r="E31" i="2"/>
  <c r="C26" i="2"/>
  <c r="C28" i="2"/>
  <c r="C30" i="2"/>
  <c r="D79" i="2"/>
  <c r="C78" i="2"/>
  <c r="C41" i="2"/>
  <c r="C37" i="2"/>
  <c r="D28" i="2"/>
  <c r="C36" i="2"/>
  <c r="C38" i="2"/>
  <c r="C40" i="2"/>
  <c r="D26" i="2"/>
  <c r="D27" i="2"/>
  <c r="D29" i="2"/>
  <c r="D31" i="2"/>
  <c r="D11" i="2"/>
  <c r="E10" i="2"/>
  <c r="C10" i="2"/>
  <c r="D9" i="2"/>
  <c r="E8" i="2"/>
  <c r="C8" i="2"/>
  <c r="D7" i="2"/>
  <c r="AC28" i="4"/>
  <c r="D76" i="2" l="1"/>
  <c r="D81" i="2"/>
  <c r="D78" i="2"/>
  <c r="D80" i="2"/>
  <c r="D18" i="2"/>
  <c r="D19" i="2"/>
  <c r="D16" i="2"/>
  <c r="D21" i="2"/>
  <c r="D17" i="2"/>
  <c r="E14" i="2"/>
  <c r="D20" i="2"/>
  <c r="E104" i="2"/>
  <c r="D108" i="2"/>
  <c r="D107" i="2"/>
  <c r="D111" i="2"/>
  <c r="D106" i="2"/>
  <c r="D109" i="2"/>
  <c r="D110" i="2"/>
  <c r="D60" i="2"/>
  <c r="D59" i="2"/>
  <c r="E54" i="2"/>
  <c r="D56" i="2"/>
  <c r="D57" i="2"/>
  <c r="D61" i="2"/>
  <c r="D58" i="2"/>
  <c r="P114" i="3"/>
  <c r="V26" i="3"/>
  <c r="P35" i="3"/>
  <c r="W35" i="3" s="1"/>
  <c r="AC35" i="3" s="1"/>
  <c r="D77" i="2"/>
  <c r="E100" i="2"/>
  <c r="E74" i="2"/>
  <c r="V107" i="3"/>
  <c r="W107" i="3" s="1"/>
  <c r="AC107" i="3" s="1"/>
  <c r="P16" i="3"/>
  <c r="W16" i="3" s="1"/>
  <c r="AC16" i="3" s="1"/>
  <c r="V97" i="3"/>
  <c r="P85" i="3"/>
  <c r="W85" i="3" s="1"/>
  <c r="AC85" i="3" s="1"/>
  <c r="P25" i="3"/>
  <c r="V114" i="3"/>
  <c r="V86" i="3"/>
  <c r="W86" i="3" s="1"/>
  <c r="AC86" i="3" s="1"/>
  <c r="P26" i="3"/>
  <c r="P27" i="3"/>
  <c r="V25" i="3"/>
  <c r="P6" i="3"/>
  <c r="W6" i="3" s="1"/>
  <c r="AC6" i="3" s="1"/>
  <c r="P55" i="3"/>
  <c r="W55" i="3" s="1"/>
  <c r="AC55" i="3" s="1"/>
  <c r="V27" i="3"/>
  <c r="V7" i="3"/>
  <c r="D6" i="2"/>
  <c r="D10" i="2"/>
  <c r="D96" i="2"/>
  <c r="D98" i="2"/>
  <c r="V35" i="3"/>
  <c r="P97" i="3"/>
  <c r="W97" i="3" s="1"/>
  <c r="AC97" i="3" s="1"/>
  <c r="P7" i="3"/>
  <c r="W7" i="3" s="1"/>
  <c r="AC7" i="3" s="1"/>
  <c r="P17" i="3"/>
  <c r="W17" i="3" s="1"/>
  <c r="AC17" i="3" s="1"/>
  <c r="P76" i="3"/>
  <c r="V76" i="3"/>
  <c r="E6" i="2"/>
  <c r="F4" i="2"/>
  <c r="E9" i="2"/>
  <c r="E7" i="2"/>
  <c r="E11" i="2"/>
  <c r="E66" i="2"/>
  <c r="F64" i="2"/>
  <c r="E67" i="2"/>
  <c r="E69" i="2"/>
  <c r="E71" i="2"/>
  <c r="E68" i="2"/>
  <c r="E70" i="2"/>
  <c r="E76" i="2"/>
  <c r="E77" i="2"/>
  <c r="E81" i="2"/>
  <c r="E116" i="2"/>
  <c r="F114" i="2"/>
  <c r="E119" i="2"/>
  <c r="E117" i="2"/>
  <c r="E121" i="2"/>
  <c r="E86" i="2"/>
  <c r="F84" i="2"/>
  <c r="E89" i="2"/>
  <c r="E87" i="2"/>
  <c r="E91" i="2"/>
  <c r="E96" i="2"/>
  <c r="F94" i="2"/>
  <c r="E99" i="2"/>
  <c r="E97" i="2"/>
  <c r="E101" i="2"/>
  <c r="F26" i="2"/>
  <c r="F27" i="2"/>
  <c r="F29" i="2"/>
  <c r="F31" i="2"/>
  <c r="F28" i="2"/>
  <c r="G24" i="2"/>
  <c r="F30" i="2"/>
  <c r="E36" i="2"/>
  <c r="E38" i="2"/>
  <c r="E40" i="2"/>
  <c r="E37" i="2"/>
  <c r="E41" i="2"/>
  <c r="F34" i="2"/>
  <c r="E39" i="2"/>
  <c r="AF46" i="2"/>
  <c r="AF47" i="2"/>
  <c r="AF49" i="2"/>
  <c r="AF51" i="2"/>
  <c r="AG44" i="2"/>
  <c r="AF48" i="2"/>
  <c r="AF50" i="2"/>
  <c r="F104" i="2" l="1"/>
  <c r="E107" i="2"/>
  <c r="E111" i="2"/>
  <c r="E106" i="2"/>
  <c r="E110" i="2"/>
  <c r="E109" i="2"/>
  <c r="E108" i="2"/>
  <c r="W27" i="3"/>
  <c r="AC27" i="3" s="1"/>
  <c r="W25" i="3"/>
  <c r="AC25" i="3" s="1"/>
  <c r="E78" i="2"/>
  <c r="E80" i="2"/>
  <c r="F74" i="2"/>
  <c r="F76" i="2" s="1"/>
  <c r="F54" i="2"/>
  <c r="E59" i="2"/>
  <c r="E56" i="2"/>
  <c r="E58" i="2"/>
  <c r="E57" i="2"/>
  <c r="E60" i="2"/>
  <c r="E61" i="2"/>
  <c r="F14" i="2"/>
  <c r="E19" i="2"/>
  <c r="E16" i="2"/>
  <c r="E20" i="2"/>
  <c r="E17" i="2"/>
  <c r="E18" i="2"/>
  <c r="E21" i="2"/>
  <c r="E79" i="2"/>
  <c r="W76" i="3"/>
  <c r="AC76" i="3" s="1"/>
  <c r="W26" i="3"/>
  <c r="AC26" i="3" s="1"/>
  <c r="W114" i="3"/>
  <c r="AC114" i="3" s="1"/>
  <c r="F86" i="2"/>
  <c r="F88" i="2"/>
  <c r="G84" i="2"/>
  <c r="F90" i="2"/>
  <c r="F91" i="2"/>
  <c r="F87" i="2"/>
  <c r="F89" i="2"/>
  <c r="F116" i="2"/>
  <c r="F118" i="2"/>
  <c r="G114" i="2"/>
  <c r="F120" i="2"/>
  <c r="F119" i="2"/>
  <c r="F121" i="2"/>
  <c r="F117" i="2"/>
  <c r="F66" i="2"/>
  <c r="F68" i="2"/>
  <c r="F70" i="2"/>
  <c r="G64" i="2"/>
  <c r="F67" i="2"/>
  <c r="F69" i="2"/>
  <c r="F71" i="2"/>
  <c r="F96" i="2"/>
  <c r="F100" i="2"/>
  <c r="G94" i="2"/>
  <c r="F98" i="2"/>
  <c r="F101" i="2"/>
  <c r="F97" i="2"/>
  <c r="F99" i="2"/>
  <c r="G74" i="2"/>
  <c r="F80" i="2"/>
  <c r="F77" i="2"/>
  <c r="F6" i="2"/>
  <c r="F8" i="2"/>
  <c r="G4" i="2"/>
  <c r="F10" i="2"/>
  <c r="F9" i="2"/>
  <c r="F11" i="2"/>
  <c r="F7" i="2"/>
  <c r="G26" i="2"/>
  <c r="G28" i="2"/>
  <c r="G30" i="2"/>
  <c r="G27" i="2"/>
  <c r="G31" i="2"/>
  <c r="G29" i="2"/>
  <c r="H24" i="2"/>
  <c r="I24" i="2" s="1"/>
  <c r="J24" i="2" s="1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G46" i="2"/>
  <c r="AG48" i="2"/>
  <c r="AG50" i="2"/>
  <c r="AG47" i="2"/>
  <c r="AG51" i="2"/>
  <c r="AH44" i="2"/>
  <c r="AG49" i="2"/>
  <c r="F36" i="2"/>
  <c r="F37" i="2"/>
  <c r="F39" i="2"/>
  <c r="F41" i="2"/>
  <c r="G34" i="2"/>
  <c r="F40" i="2"/>
  <c r="F38" i="2"/>
  <c r="F79" i="2" l="1"/>
  <c r="F78" i="2"/>
  <c r="F20" i="2"/>
  <c r="F17" i="2"/>
  <c r="F21" i="2"/>
  <c r="G14" i="2"/>
  <c r="F18" i="2"/>
  <c r="F19" i="2"/>
  <c r="F16" i="2"/>
  <c r="F58" i="2"/>
  <c r="F57" i="2"/>
  <c r="F61" i="2"/>
  <c r="F60" i="2"/>
  <c r="F56" i="2"/>
  <c r="F59" i="2"/>
  <c r="G54" i="2"/>
  <c r="G104" i="2"/>
  <c r="F106" i="2"/>
  <c r="F110" i="2"/>
  <c r="F109" i="2"/>
  <c r="F107" i="2"/>
  <c r="F108" i="2"/>
  <c r="F111" i="2"/>
  <c r="F81" i="2"/>
  <c r="G76" i="2"/>
  <c r="H74" i="2"/>
  <c r="G77" i="2"/>
  <c r="G81" i="2"/>
  <c r="G79" i="2"/>
  <c r="G80" i="2"/>
  <c r="G78" i="2"/>
  <c r="G96" i="2"/>
  <c r="H94" i="2"/>
  <c r="G97" i="2"/>
  <c r="G101" i="2"/>
  <c r="G99" i="2"/>
  <c r="G98" i="2"/>
  <c r="G100" i="2"/>
  <c r="G66" i="2"/>
  <c r="G67" i="2"/>
  <c r="G69" i="2"/>
  <c r="G71" i="2"/>
  <c r="G68" i="2"/>
  <c r="G70" i="2"/>
  <c r="H64" i="2"/>
  <c r="I64" i="2" s="1"/>
  <c r="J64" i="2" s="1"/>
  <c r="G116" i="2"/>
  <c r="G117" i="2"/>
  <c r="T113" i="3" s="1"/>
  <c r="G121" i="2"/>
  <c r="G119" i="2"/>
  <c r="H114" i="2"/>
  <c r="I114" i="2" s="1"/>
  <c r="J114" i="2" s="1"/>
  <c r="K114" i="2" s="1"/>
  <c r="L114" i="2" s="1"/>
  <c r="M114" i="2" s="1"/>
  <c r="N114" i="2" s="1"/>
  <c r="O114" i="2" s="1"/>
  <c r="P114" i="2" s="1"/>
  <c r="Q114" i="2" s="1"/>
  <c r="R114" i="2" s="1"/>
  <c r="S114" i="2" s="1"/>
  <c r="T114" i="2" s="1"/>
  <c r="U114" i="2" s="1"/>
  <c r="V114" i="2" s="1"/>
  <c r="G118" i="2"/>
  <c r="G120" i="2"/>
  <c r="M113" i="3"/>
  <c r="R113" i="3"/>
  <c r="Y113" i="3"/>
  <c r="G6" i="2"/>
  <c r="G4" i="3" s="1"/>
  <c r="G7" i="2"/>
  <c r="G11" i="2"/>
  <c r="G9" i="2"/>
  <c r="H4" i="2"/>
  <c r="I4" i="2" s="1"/>
  <c r="J4" i="2" s="1"/>
  <c r="G8" i="2"/>
  <c r="G10" i="2"/>
  <c r="F4" i="3"/>
  <c r="AB4" i="3"/>
  <c r="X4" i="3"/>
  <c r="G86" i="2"/>
  <c r="T84" i="3" s="1"/>
  <c r="G87" i="2"/>
  <c r="G91" i="2"/>
  <c r="G89" i="2"/>
  <c r="H84" i="2"/>
  <c r="I84" i="2" s="1"/>
  <c r="J84" i="2" s="1"/>
  <c r="K84" i="2" s="1"/>
  <c r="L84" i="2" s="1"/>
  <c r="M84" i="2" s="1"/>
  <c r="N84" i="2" s="1"/>
  <c r="O84" i="2" s="1"/>
  <c r="P84" i="2" s="1"/>
  <c r="Q84" i="2" s="1"/>
  <c r="R84" i="2" s="1"/>
  <c r="S84" i="2" s="1"/>
  <c r="T84" i="2" s="1"/>
  <c r="U84" i="2" s="1"/>
  <c r="V84" i="2" s="1"/>
  <c r="W84" i="2" s="1"/>
  <c r="X84" i="2" s="1"/>
  <c r="Y84" i="2" s="1"/>
  <c r="G90" i="2"/>
  <c r="G88" i="2"/>
  <c r="AB84" i="3" s="1"/>
  <c r="X84" i="3"/>
  <c r="Y84" i="3"/>
  <c r="G36" i="2"/>
  <c r="G38" i="2"/>
  <c r="G40" i="2"/>
  <c r="G39" i="2"/>
  <c r="AB34" i="3" s="1"/>
  <c r="H34" i="2"/>
  <c r="I34" i="2" s="1"/>
  <c r="J34" i="2" s="1"/>
  <c r="K34" i="2" s="1"/>
  <c r="L34" i="2" s="1"/>
  <c r="M34" i="2" s="1"/>
  <c r="N34" i="2" s="1"/>
  <c r="O34" i="2" s="1"/>
  <c r="P34" i="2" s="1"/>
  <c r="Q34" i="2" s="1"/>
  <c r="G37" i="2"/>
  <c r="H34" i="3" s="1"/>
  <c r="G41" i="2"/>
  <c r="O34" i="3"/>
  <c r="J34" i="3"/>
  <c r="AF24" i="2"/>
  <c r="AE27" i="2"/>
  <c r="AE29" i="2"/>
  <c r="AE31" i="2"/>
  <c r="AE28" i="2"/>
  <c r="AE26" i="2"/>
  <c r="AE30" i="2"/>
  <c r="AB24" i="3"/>
  <c r="E24" i="3"/>
  <c r="I24" i="3"/>
  <c r="M24" i="3"/>
  <c r="Q24" i="3"/>
  <c r="U24" i="3"/>
  <c r="AA24" i="3"/>
  <c r="F24" i="3"/>
  <c r="J24" i="3"/>
  <c r="N24" i="3"/>
  <c r="T24" i="3"/>
  <c r="Z24" i="3"/>
  <c r="C24" i="3"/>
  <c r="G24" i="3"/>
  <c r="K24" i="3"/>
  <c r="O24" i="3"/>
  <c r="S24" i="3"/>
  <c r="Y24" i="3"/>
  <c r="D24" i="3"/>
  <c r="H24" i="3"/>
  <c r="L24" i="3"/>
  <c r="R24" i="3"/>
  <c r="X24" i="3"/>
  <c r="AH46" i="2"/>
  <c r="AH47" i="2"/>
  <c r="AH49" i="2"/>
  <c r="AH51" i="2"/>
  <c r="AI44" i="2"/>
  <c r="AH50" i="2"/>
  <c r="AH48" i="2"/>
  <c r="G57" i="2" l="1"/>
  <c r="G61" i="2"/>
  <c r="G56" i="2"/>
  <c r="G60" i="2"/>
  <c r="H54" i="2"/>
  <c r="I54" i="2" s="1"/>
  <c r="J54" i="2" s="1"/>
  <c r="K54" i="2" s="1"/>
  <c r="L54" i="2" s="1"/>
  <c r="M54" i="2" s="1"/>
  <c r="N54" i="2" s="1"/>
  <c r="O54" i="2" s="1"/>
  <c r="P54" i="2" s="1"/>
  <c r="Q54" i="2" s="1"/>
  <c r="G58" i="2"/>
  <c r="J54" i="3" s="1"/>
  <c r="G59" i="2"/>
  <c r="Q34" i="3"/>
  <c r="Q84" i="3"/>
  <c r="N84" i="3"/>
  <c r="K84" i="3"/>
  <c r="J84" i="3"/>
  <c r="L4" i="3"/>
  <c r="Q4" i="3"/>
  <c r="O4" i="3"/>
  <c r="N113" i="3"/>
  <c r="K113" i="3"/>
  <c r="D113" i="3"/>
  <c r="C113" i="3"/>
  <c r="N54" i="3"/>
  <c r="O54" i="3"/>
  <c r="H84" i="3"/>
  <c r="M84" i="3"/>
  <c r="D4" i="3"/>
  <c r="Z4" i="3"/>
  <c r="I113" i="3"/>
  <c r="AB113" i="3"/>
  <c r="X113" i="3"/>
  <c r="C34" i="3"/>
  <c r="G84" i="3"/>
  <c r="D84" i="3"/>
  <c r="M4" i="3"/>
  <c r="K4" i="3"/>
  <c r="N4" i="3"/>
  <c r="AA113" i="3"/>
  <c r="T54" i="3"/>
  <c r="G54" i="3"/>
  <c r="AA54" i="3"/>
  <c r="H104" i="2"/>
  <c r="I104" i="2" s="1"/>
  <c r="J104" i="2" s="1"/>
  <c r="K104" i="2" s="1"/>
  <c r="L104" i="2" s="1"/>
  <c r="M104" i="2" s="1"/>
  <c r="G109" i="2"/>
  <c r="G108" i="2"/>
  <c r="G107" i="2"/>
  <c r="K104" i="3" s="1"/>
  <c r="G110" i="2"/>
  <c r="G111" i="2"/>
  <c r="Q104" i="3" s="1"/>
  <c r="G106" i="2"/>
  <c r="U104" i="3"/>
  <c r="H14" i="2"/>
  <c r="G17" i="2"/>
  <c r="G21" i="2"/>
  <c r="G16" i="2"/>
  <c r="G18" i="2"/>
  <c r="G19" i="2"/>
  <c r="G20" i="2"/>
  <c r="M104" i="3"/>
  <c r="W114" i="2"/>
  <c r="V118" i="2"/>
  <c r="V120" i="2"/>
  <c r="V116" i="2"/>
  <c r="V117" i="2"/>
  <c r="V119" i="2"/>
  <c r="V121" i="2"/>
  <c r="Y86" i="2"/>
  <c r="Y87" i="2"/>
  <c r="Y89" i="2"/>
  <c r="Y91" i="2"/>
  <c r="Z84" i="2"/>
  <c r="Y88" i="2"/>
  <c r="Y90" i="2"/>
  <c r="J66" i="2"/>
  <c r="J70" i="2"/>
  <c r="J67" i="2"/>
  <c r="J71" i="2"/>
  <c r="J68" i="2"/>
  <c r="K64" i="2"/>
  <c r="L64" i="2" s="1"/>
  <c r="M64" i="2" s="1"/>
  <c r="N64" i="2" s="1"/>
  <c r="O64" i="2" s="1"/>
  <c r="P64" i="2" s="1"/>
  <c r="Q64" i="2" s="1"/>
  <c r="J69" i="2"/>
  <c r="J64" i="3"/>
  <c r="S64" i="3"/>
  <c r="C64" i="3"/>
  <c r="K64" i="3"/>
  <c r="T64" i="3"/>
  <c r="D64" i="3"/>
  <c r="L64" i="3"/>
  <c r="U64" i="3"/>
  <c r="E64" i="3"/>
  <c r="M64" i="3"/>
  <c r="X64" i="3"/>
  <c r="F64" i="3"/>
  <c r="N64" i="3"/>
  <c r="Y64" i="3"/>
  <c r="G64" i="3"/>
  <c r="O64" i="3"/>
  <c r="Z64" i="3"/>
  <c r="H64" i="3"/>
  <c r="Q64" i="3"/>
  <c r="AA64" i="3"/>
  <c r="I64" i="3"/>
  <c r="R64" i="3"/>
  <c r="AB64" i="3"/>
  <c r="H96" i="2"/>
  <c r="H98" i="2"/>
  <c r="I94" i="2"/>
  <c r="H100" i="2"/>
  <c r="H99" i="2"/>
  <c r="H101" i="2"/>
  <c r="H97" i="2"/>
  <c r="T34" i="3"/>
  <c r="AA34" i="3"/>
  <c r="I34" i="3"/>
  <c r="R34" i="3"/>
  <c r="Y34" i="3"/>
  <c r="G34" i="3"/>
  <c r="E84" i="3"/>
  <c r="I84" i="3"/>
  <c r="AA84" i="3"/>
  <c r="R84" i="3"/>
  <c r="O84" i="3"/>
  <c r="F84" i="3"/>
  <c r="Z84" i="3"/>
  <c r="U84" i="3"/>
  <c r="L84" i="3"/>
  <c r="C84" i="3"/>
  <c r="S84" i="3"/>
  <c r="U4" i="3"/>
  <c r="E4" i="3"/>
  <c r="R4" i="3"/>
  <c r="H4" i="3"/>
  <c r="S4" i="3"/>
  <c r="C4" i="3"/>
  <c r="AA4" i="3"/>
  <c r="I4" i="3"/>
  <c r="T4" i="3"/>
  <c r="J4" i="3"/>
  <c r="Y4" i="3"/>
  <c r="O113" i="3"/>
  <c r="F113" i="3"/>
  <c r="Z113" i="3"/>
  <c r="Q113" i="3"/>
  <c r="H113" i="3"/>
  <c r="G113" i="3"/>
  <c r="S113" i="3"/>
  <c r="J113" i="3"/>
  <c r="E113" i="3"/>
  <c r="U113" i="3"/>
  <c r="L113" i="3"/>
  <c r="K4" i="2"/>
  <c r="J9" i="2"/>
  <c r="J6" i="2"/>
  <c r="J10" i="2"/>
  <c r="J7" i="2"/>
  <c r="J11" i="2"/>
  <c r="J8" i="2"/>
  <c r="H76" i="2"/>
  <c r="H78" i="2"/>
  <c r="H80" i="2"/>
  <c r="I74" i="2"/>
  <c r="H79" i="2"/>
  <c r="H81" i="2"/>
  <c r="H77" i="2"/>
  <c r="P24" i="3"/>
  <c r="V24" i="3"/>
  <c r="Q37" i="2"/>
  <c r="Q39" i="2"/>
  <c r="Q41" i="2"/>
  <c r="Q38" i="2"/>
  <c r="Q36" i="2"/>
  <c r="Q40" i="2"/>
  <c r="R34" i="2"/>
  <c r="S34" i="2" s="1"/>
  <c r="T34" i="2" s="1"/>
  <c r="U34" i="2" s="1"/>
  <c r="V34" i="2" s="1"/>
  <c r="W34" i="2" s="1"/>
  <c r="X34" i="2" s="1"/>
  <c r="AI46" i="2"/>
  <c r="O48" i="3" s="1"/>
  <c r="AI48" i="2"/>
  <c r="AI50" i="2"/>
  <c r="AI49" i="2"/>
  <c r="AJ44" i="2"/>
  <c r="AK44" i="2" s="1"/>
  <c r="AL44" i="2" s="1"/>
  <c r="AI47" i="2"/>
  <c r="AI51" i="2"/>
  <c r="AG24" i="2"/>
  <c r="AF28" i="2"/>
  <c r="AF30" i="2"/>
  <c r="AF26" i="2"/>
  <c r="AF27" i="2"/>
  <c r="AF31" i="2"/>
  <c r="AF29" i="2"/>
  <c r="Y48" i="3"/>
  <c r="L48" i="3"/>
  <c r="Z34" i="3"/>
  <c r="N34" i="3"/>
  <c r="F34" i="3"/>
  <c r="U34" i="3"/>
  <c r="M34" i="3"/>
  <c r="E34" i="3"/>
  <c r="X34" i="3"/>
  <c r="L34" i="3"/>
  <c r="D34" i="3"/>
  <c r="S34" i="3"/>
  <c r="K34" i="3"/>
  <c r="V84" i="3" l="1"/>
  <c r="C104" i="3"/>
  <c r="J104" i="3"/>
  <c r="D104" i="3"/>
  <c r="L104" i="3"/>
  <c r="X48" i="3"/>
  <c r="AA48" i="3"/>
  <c r="I104" i="3"/>
  <c r="O104" i="3"/>
  <c r="G104" i="3"/>
  <c r="F104" i="3"/>
  <c r="Y104" i="3"/>
  <c r="T104" i="3"/>
  <c r="V104" i="3" s="1"/>
  <c r="H104" i="3"/>
  <c r="Q54" i="3"/>
  <c r="S104" i="3"/>
  <c r="Z104" i="3"/>
  <c r="S54" i="3"/>
  <c r="F54" i="3"/>
  <c r="Q60" i="2"/>
  <c r="Q59" i="2"/>
  <c r="R54" i="2"/>
  <c r="S54" i="2" s="1"/>
  <c r="T54" i="2" s="1"/>
  <c r="U54" i="2" s="1"/>
  <c r="V54" i="2" s="1"/>
  <c r="W54" i="2" s="1"/>
  <c r="X54" i="2" s="1"/>
  <c r="Q56" i="2"/>
  <c r="Q57" i="2"/>
  <c r="Q58" i="2"/>
  <c r="Q61" i="2"/>
  <c r="V34" i="3"/>
  <c r="G48" i="3"/>
  <c r="V4" i="3"/>
  <c r="R104" i="3"/>
  <c r="N104" i="3"/>
  <c r="U54" i="3"/>
  <c r="P113" i="3"/>
  <c r="H18" i="2"/>
  <c r="H19" i="2"/>
  <c r="H16" i="2"/>
  <c r="H17" i="2"/>
  <c r="H20" i="2"/>
  <c r="H21" i="2"/>
  <c r="I14" i="2"/>
  <c r="M107" i="2"/>
  <c r="N104" i="2"/>
  <c r="M106" i="2"/>
  <c r="M108" i="2"/>
  <c r="M110" i="2"/>
  <c r="M111" i="2"/>
  <c r="M109" i="2"/>
  <c r="D54" i="3"/>
  <c r="E104" i="3"/>
  <c r="X104" i="3"/>
  <c r="AB104" i="3"/>
  <c r="AA104" i="3"/>
  <c r="AB54" i="3"/>
  <c r="X54" i="3"/>
  <c r="C54" i="3"/>
  <c r="Z54" i="3"/>
  <c r="E54" i="3"/>
  <c r="I54" i="3"/>
  <c r="L54" i="3"/>
  <c r="Y54" i="3"/>
  <c r="H54" i="3"/>
  <c r="R54" i="3"/>
  <c r="M54" i="3"/>
  <c r="K54" i="3"/>
  <c r="I96" i="2"/>
  <c r="D94" i="3" s="1"/>
  <c r="I99" i="2"/>
  <c r="J94" i="2"/>
  <c r="I97" i="2"/>
  <c r="I101" i="2"/>
  <c r="I100" i="2"/>
  <c r="I98" i="2"/>
  <c r="X94" i="3"/>
  <c r="O94" i="3"/>
  <c r="AA94" i="3"/>
  <c r="R94" i="3"/>
  <c r="C94" i="3"/>
  <c r="U94" i="3"/>
  <c r="L94" i="3"/>
  <c r="G94" i="3"/>
  <c r="Q94" i="3"/>
  <c r="H94" i="3"/>
  <c r="T94" i="3"/>
  <c r="AB65" i="3"/>
  <c r="E65" i="3"/>
  <c r="I65" i="3"/>
  <c r="M65" i="3"/>
  <c r="Q65" i="3"/>
  <c r="U65" i="3"/>
  <c r="AA65" i="3"/>
  <c r="F65" i="3"/>
  <c r="J65" i="3"/>
  <c r="N65" i="3"/>
  <c r="T65" i="3"/>
  <c r="Z65" i="3"/>
  <c r="C65" i="3"/>
  <c r="G65" i="3"/>
  <c r="K65" i="3"/>
  <c r="O65" i="3"/>
  <c r="S65" i="3"/>
  <c r="Y65" i="3"/>
  <c r="D65" i="3"/>
  <c r="H65" i="3"/>
  <c r="L65" i="3"/>
  <c r="R65" i="3"/>
  <c r="X65" i="3"/>
  <c r="Z87" i="2"/>
  <c r="Z89" i="2"/>
  <c r="Z91" i="2"/>
  <c r="Z86" i="2"/>
  <c r="Z88" i="2"/>
  <c r="Z90" i="2"/>
  <c r="AA84" i="2"/>
  <c r="P4" i="3"/>
  <c r="W4" i="3" s="1"/>
  <c r="AC4" i="3" s="1"/>
  <c r="I76" i="2"/>
  <c r="I79" i="2"/>
  <c r="J74" i="2"/>
  <c r="I77" i="2"/>
  <c r="I81" i="2"/>
  <c r="I80" i="2"/>
  <c r="I78" i="2"/>
  <c r="K8" i="2"/>
  <c r="K6" i="2"/>
  <c r="K9" i="2"/>
  <c r="L4" i="2"/>
  <c r="K10" i="2"/>
  <c r="K7" i="2"/>
  <c r="K11" i="2"/>
  <c r="Q67" i="2"/>
  <c r="Q71" i="2"/>
  <c r="Q68" i="2"/>
  <c r="R64" i="2"/>
  <c r="S64" i="2" s="1"/>
  <c r="T64" i="2" s="1"/>
  <c r="U64" i="2" s="1"/>
  <c r="V64" i="2" s="1"/>
  <c r="W64" i="2" s="1"/>
  <c r="X64" i="2" s="1"/>
  <c r="Y64" i="2" s="1"/>
  <c r="Z64" i="2" s="1"/>
  <c r="AA64" i="2" s="1"/>
  <c r="AB64" i="2" s="1"/>
  <c r="AC64" i="2" s="1"/>
  <c r="AD64" i="2" s="1"/>
  <c r="Q69" i="2"/>
  <c r="Q66" i="2"/>
  <c r="Q70" i="2"/>
  <c r="W116" i="2"/>
  <c r="W118" i="2"/>
  <c r="W120" i="2"/>
  <c r="X114" i="2"/>
  <c r="W117" i="2"/>
  <c r="W119" i="2"/>
  <c r="W121" i="2"/>
  <c r="V113" i="3"/>
  <c r="P84" i="3"/>
  <c r="W84" i="3" s="1"/>
  <c r="AC84" i="3" s="1"/>
  <c r="V64" i="3"/>
  <c r="P64" i="3"/>
  <c r="W64" i="3" s="1"/>
  <c r="AC64" i="3" s="1"/>
  <c r="X36" i="2"/>
  <c r="X38" i="2"/>
  <c r="X40" i="2"/>
  <c r="X39" i="2"/>
  <c r="Y34" i="2"/>
  <c r="X37" i="2"/>
  <c r="X41" i="2"/>
  <c r="AB36" i="3"/>
  <c r="C36" i="3"/>
  <c r="E36" i="3"/>
  <c r="G36" i="3"/>
  <c r="I36" i="3"/>
  <c r="K36" i="3"/>
  <c r="M36" i="3"/>
  <c r="O36" i="3"/>
  <c r="Q36" i="3"/>
  <c r="S36" i="3"/>
  <c r="U36" i="3"/>
  <c r="Y36" i="3"/>
  <c r="AA36" i="3"/>
  <c r="D36" i="3"/>
  <c r="F36" i="3"/>
  <c r="H36" i="3"/>
  <c r="J36" i="3"/>
  <c r="L36" i="3"/>
  <c r="N36" i="3"/>
  <c r="R36" i="3"/>
  <c r="T36" i="3"/>
  <c r="X36" i="3"/>
  <c r="Z36" i="3"/>
  <c r="W24" i="3"/>
  <c r="P34" i="3"/>
  <c r="AH24" i="2"/>
  <c r="AG27" i="2"/>
  <c r="AG29" i="2"/>
  <c r="AG31" i="2"/>
  <c r="AG30" i="2"/>
  <c r="AG26" i="2"/>
  <c r="AG28" i="2"/>
  <c r="AL46" i="2"/>
  <c r="AM44" i="2"/>
  <c r="AL48" i="2"/>
  <c r="AL50" i="2"/>
  <c r="AL47" i="2"/>
  <c r="AL49" i="2"/>
  <c r="AL51" i="2"/>
  <c r="N48" i="3"/>
  <c r="I48" i="3"/>
  <c r="T48" i="3"/>
  <c r="M48" i="3"/>
  <c r="H48" i="3"/>
  <c r="R48" i="3"/>
  <c r="C48" i="3"/>
  <c r="K48" i="3"/>
  <c r="S48" i="3"/>
  <c r="U48" i="3"/>
  <c r="F48" i="3"/>
  <c r="Z48" i="3"/>
  <c r="Q48" i="3"/>
  <c r="J48" i="3"/>
  <c r="E48" i="3"/>
  <c r="AB48" i="3"/>
  <c r="D48" i="3"/>
  <c r="Y54" i="2" l="1"/>
  <c r="Z54" i="2" s="1"/>
  <c r="X59" i="2"/>
  <c r="X57" i="2"/>
  <c r="X61" i="2"/>
  <c r="X58" i="2"/>
  <c r="X56" i="2"/>
  <c r="X60" i="2"/>
  <c r="K94" i="3"/>
  <c r="N94" i="3"/>
  <c r="E94" i="3"/>
  <c r="P94" i="3" s="1"/>
  <c r="S94" i="3"/>
  <c r="Z94" i="3"/>
  <c r="M94" i="3"/>
  <c r="I19" i="2"/>
  <c r="N14" i="3" s="1"/>
  <c r="J14" i="2"/>
  <c r="I16" i="2"/>
  <c r="I20" i="2"/>
  <c r="AA14" i="3" s="1"/>
  <c r="I18" i="2"/>
  <c r="Z14" i="3" s="1"/>
  <c r="I21" i="2"/>
  <c r="I17" i="2"/>
  <c r="E14" i="3"/>
  <c r="P104" i="3"/>
  <c r="W104" i="3" s="1"/>
  <c r="AC104" i="3" s="1"/>
  <c r="C74" i="3"/>
  <c r="P54" i="3"/>
  <c r="V54" i="3"/>
  <c r="W54" i="3" s="1"/>
  <c r="AC54" i="3" s="1"/>
  <c r="W113" i="3"/>
  <c r="AC113" i="3" s="1"/>
  <c r="AA115" i="3"/>
  <c r="F94" i="3"/>
  <c r="AB94" i="3"/>
  <c r="Y94" i="3"/>
  <c r="J94" i="3"/>
  <c r="I94" i="3"/>
  <c r="N106" i="2"/>
  <c r="N108" i="2"/>
  <c r="N110" i="2"/>
  <c r="N107" i="2"/>
  <c r="N111" i="2"/>
  <c r="O104" i="2"/>
  <c r="N109" i="2"/>
  <c r="C56" i="3"/>
  <c r="K56" i="3"/>
  <c r="S56" i="3"/>
  <c r="D56" i="3"/>
  <c r="L56" i="3"/>
  <c r="X56" i="3"/>
  <c r="M56" i="3"/>
  <c r="F56" i="3"/>
  <c r="Z56" i="3"/>
  <c r="G56" i="3"/>
  <c r="Y56" i="3"/>
  <c r="R56" i="3"/>
  <c r="AB56" i="3"/>
  <c r="I56" i="3"/>
  <c r="Q56" i="3"/>
  <c r="AA56" i="3"/>
  <c r="J56" i="3"/>
  <c r="T56" i="3"/>
  <c r="E56" i="3"/>
  <c r="U56" i="3"/>
  <c r="N56" i="3"/>
  <c r="O56" i="3"/>
  <c r="H56" i="3"/>
  <c r="L14" i="3"/>
  <c r="X116" i="2"/>
  <c r="X120" i="2"/>
  <c r="X117" i="2"/>
  <c r="X121" i="2"/>
  <c r="X118" i="2"/>
  <c r="Y114" i="2"/>
  <c r="X119" i="2"/>
  <c r="M4" i="2"/>
  <c r="L9" i="2"/>
  <c r="L6" i="2"/>
  <c r="L10" i="2"/>
  <c r="L7" i="2"/>
  <c r="L11" i="2"/>
  <c r="L8" i="2"/>
  <c r="J76" i="2"/>
  <c r="J77" i="2"/>
  <c r="J79" i="2"/>
  <c r="J81" i="2"/>
  <c r="K74" i="2"/>
  <c r="J78" i="2"/>
  <c r="J80" i="2"/>
  <c r="J96" i="2"/>
  <c r="J99" i="2"/>
  <c r="K94" i="2"/>
  <c r="J97" i="2"/>
  <c r="J101" i="2"/>
  <c r="J98" i="2"/>
  <c r="J100" i="2"/>
  <c r="C115" i="3"/>
  <c r="S115" i="3"/>
  <c r="J115" i="3"/>
  <c r="E115" i="3"/>
  <c r="U115" i="3"/>
  <c r="L115" i="3"/>
  <c r="G115" i="3"/>
  <c r="Y115" i="3"/>
  <c r="N115" i="3"/>
  <c r="I115" i="3"/>
  <c r="P65" i="3"/>
  <c r="W65" i="3" s="1"/>
  <c r="AC65" i="3" s="1"/>
  <c r="V65" i="3"/>
  <c r="V94" i="3"/>
  <c r="AA74" i="3"/>
  <c r="L74" i="3"/>
  <c r="Z74" i="3"/>
  <c r="F74" i="3"/>
  <c r="M74" i="3"/>
  <c r="R74" i="3"/>
  <c r="Y74" i="3"/>
  <c r="G74" i="3"/>
  <c r="J74" i="3"/>
  <c r="X74" i="3"/>
  <c r="K74" i="3"/>
  <c r="C66" i="3"/>
  <c r="G66" i="3"/>
  <c r="K66" i="3"/>
  <c r="O66" i="3"/>
  <c r="S66" i="3"/>
  <c r="Y66" i="3"/>
  <c r="D66" i="3"/>
  <c r="H66" i="3"/>
  <c r="L66" i="3"/>
  <c r="R66" i="3"/>
  <c r="X66" i="3"/>
  <c r="AB66" i="3"/>
  <c r="E66" i="3"/>
  <c r="I66" i="3"/>
  <c r="M66" i="3"/>
  <c r="Q66" i="3"/>
  <c r="U66" i="3"/>
  <c r="AA66" i="3"/>
  <c r="F66" i="3"/>
  <c r="J66" i="3"/>
  <c r="N66" i="3"/>
  <c r="T66" i="3"/>
  <c r="Z66" i="3"/>
  <c r="AD66" i="2"/>
  <c r="AD70" i="2"/>
  <c r="AD69" i="2"/>
  <c r="AE64" i="2"/>
  <c r="AD68" i="2"/>
  <c r="AD67" i="2"/>
  <c r="AD71" i="2"/>
  <c r="AA86" i="2"/>
  <c r="AA87" i="2"/>
  <c r="AA89" i="2"/>
  <c r="AA91" i="2"/>
  <c r="AB84" i="2"/>
  <c r="AA88" i="2"/>
  <c r="AA90" i="2"/>
  <c r="D115" i="3"/>
  <c r="R115" i="3"/>
  <c r="K115" i="3"/>
  <c r="AB115" i="3"/>
  <c r="T115" i="3"/>
  <c r="M115" i="3"/>
  <c r="H115" i="3"/>
  <c r="X115" i="3"/>
  <c r="O115" i="3"/>
  <c r="F115" i="3"/>
  <c r="Z115" i="3"/>
  <c r="Q115" i="3"/>
  <c r="T74" i="3"/>
  <c r="I74" i="3"/>
  <c r="S74" i="3"/>
  <c r="N74" i="3"/>
  <c r="U74" i="3"/>
  <c r="E74" i="3"/>
  <c r="H74" i="3"/>
  <c r="O74" i="3"/>
  <c r="AB74" i="3"/>
  <c r="Q74" i="3"/>
  <c r="D74" i="3"/>
  <c r="W34" i="3"/>
  <c r="AC24" i="3"/>
  <c r="V36" i="3"/>
  <c r="V48" i="3"/>
  <c r="P48" i="3"/>
  <c r="AM46" i="2"/>
  <c r="AM47" i="2"/>
  <c r="AM48" i="2"/>
  <c r="AM49" i="2"/>
  <c r="AM50" i="2"/>
  <c r="AM51" i="2"/>
  <c r="AI24" i="2"/>
  <c r="AH28" i="2"/>
  <c r="AH30" i="2"/>
  <c r="AH26" i="2"/>
  <c r="AH29" i="2"/>
  <c r="AH27" i="2"/>
  <c r="AH31" i="2"/>
  <c r="P36" i="3"/>
  <c r="W36" i="3" s="1"/>
  <c r="AC36" i="3" s="1"/>
  <c r="Y36" i="2"/>
  <c r="Y37" i="2"/>
  <c r="Y39" i="2"/>
  <c r="Y41" i="2"/>
  <c r="Z34" i="2"/>
  <c r="Y38" i="2"/>
  <c r="Y40" i="2"/>
  <c r="V115" i="3" l="1"/>
  <c r="V74" i="3"/>
  <c r="O106" i="2"/>
  <c r="O111" i="2"/>
  <c r="O107" i="2"/>
  <c r="P104" i="2"/>
  <c r="O110" i="2"/>
  <c r="O109" i="2"/>
  <c r="O108" i="2"/>
  <c r="D14" i="3"/>
  <c r="J19" i="2"/>
  <c r="J18" i="2"/>
  <c r="J16" i="2"/>
  <c r="J20" i="2"/>
  <c r="J21" i="2"/>
  <c r="K14" i="2"/>
  <c r="J17" i="2"/>
  <c r="P56" i="3"/>
  <c r="U14" i="3"/>
  <c r="O14" i="3"/>
  <c r="Z57" i="2"/>
  <c r="Z60" i="2"/>
  <c r="Z59" i="2"/>
  <c r="Z56" i="2"/>
  <c r="Y56" i="2" s="1"/>
  <c r="Z61" i="2"/>
  <c r="AA54" i="2"/>
  <c r="Z58" i="2"/>
  <c r="P74" i="3"/>
  <c r="W74" i="3" s="1"/>
  <c r="AC74" i="3" s="1"/>
  <c r="V56" i="3"/>
  <c r="I14" i="3"/>
  <c r="T14" i="3"/>
  <c r="S14" i="3"/>
  <c r="Y14" i="3"/>
  <c r="H14" i="3"/>
  <c r="C14" i="3"/>
  <c r="Q14" i="3"/>
  <c r="G14" i="3"/>
  <c r="AB14" i="3"/>
  <c r="J14" i="3"/>
  <c r="R14" i="3"/>
  <c r="X14" i="3"/>
  <c r="F14" i="3"/>
  <c r="K14" i="3"/>
  <c r="M14" i="3"/>
  <c r="C67" i="3"/>
  <c r="O67" i="3"/>
  <c r="S67" i="3"/>
  <c r="H67" i="3"/>
  <c r="R67" i="3"/>
  <c r="AB67" i="3"/>
  <c r="E67" i="3"/>
  <c r="I67" i="3"/>
  <c r="M67" i="3"/>
  <c r="Q67" i="3"/>
  <c r="U67" i="3"/>
  <c r="AA67" i="3"/>
  <c r="F67" i="3"/>
  <c r="J67" i="3"/>
  <c r="N67" i="3"/>
  <c r="T67" i="3"/>
  <c r="Z67" i="3"/>
  <c r="G67" i="3"/>
  <c r="K67" i="3"/>
  <c r="Y67" i="3"/>
  <c r="D67" i="3"/>
  <c r="L67" i="3"/>
  <c r="X67" i="3"/>
  <c r="K96" i="2"/>
  <c r="L94" i="2"/>
  <c r="K98" i="2"/>
  <c r="K100" i="2"/>
  <c r="K101" i="2"/>
  <c r="K97" i="2"/>
  <c r="K99" i="2"/>
  <c r="N4" i="2"/>
  <c r="M10" i="2"/>
  <c r="M7" i="2"/>
  <c r="M11" i="2"/>
  <c r="M8" i="2"/>
  <c r="M6" i="2"/>
  <c r="M9" i="2"/>
  <c r="Z114" i="2"/>
  <c r="Y120" i="2"/>
  <c r="Y117" i="2"/>
  <c r="Y121" i="2"/>
  <c r="Y118" i="2"/>
  <c r="Y116" i="2"/>
  <c r="Y119" i="2"/>
  <c r="V66" i="3"/>
  <c r="P115" i="3"/>
  <c r="AB87" i="2"/>
  <c r="AB89" i="2"/>
  <c r="AB91" i="2"/>
  <c r="AB86" i="2"/>
  <c r="AB88" i="2"/>
  <c r="AB90" i="2"/>
  <c r="AC84" i="2"/>
  <c r="AE66" i="2"/>
  <c r="AE67" i="2"/>
  <c r="AE69" i="2"/>
  <c r="AE71" i="2"/>
  <c r="AF64" i="2"/>
  <c r="AE68" i="2"/>
  <c r="AE70" i="2"/>
  <c r="K76" i="2"/>
  <c r="K81" i="2"/>
  <c r="K79" i="2"/>
  <c r="K77" i="2"/>
  <c r="E75" i="3" s="1"/>
  <c r="L74" i="2"/>
  <c r="M74" i="2" s="1"/>
  <c r="N74" i="2" s="1"/>
  <c r="O74" i="2" s="1"/>
  <c r="P74" i="2" s="1"/>
  <c r="Q74" i="2" s="1"/>
  <c r="R74" i="2" s="1"/>
  <c r="S74" i="2" s="1"/>
  <c r="T74" i="2" s="1"/>
  <c r="U74" i="2" s="1"/>
  <c r="V74" i="2" s="1"/>
  <c r="W74" i="2" s="1"/>
  <c r="X74" i="2" s="1"/>
  <c r="Y74" i="2" s="1"/>
  <c r="K80" i="2"/>
  <c r="K78" i="2"/>
  <c r="J75" i="3"/>
  <c r="M75" i="3"/>
  <c r="AB75" i="3"/>
  <c r="R75" i="3"/>
  <c r="K75" i="3"/>
  <c r="D49" i="3"/>
  <c r="D50" i="3" s="1"/>
  <c r="D12" i="4" s="1"/>
  <c r="P66" i="3"/>
  <c r="W66" i="3" s="1"/>
  <c r="AC66" i="3" s="1"/>
  <c r="W94" i="3"/>
  <c r="AC94" i="3" s="1"/>
  <c r="AA49" i="3"/>
  <c r="AA50" i="3" s="1"/>
  <c r="AA12" i="4" s="1"/>
  <c r="U49" i="3"/>
  <c r="U50" i="3" s="1"/>
  <c r="U12" i="4" s="1"/>
  <c r="Q49" i="3"/>
  <c r="M49" i="3"/>
  <c r="M50" i="3" s="1"/>
  <c r="M12" i="4" s="1"/>
  <c r="I49" i="3"/>
  <c r="I50" i="3" s="1"/>
  <c r="I12" i="4" s="1"/>
  <c r="E49" i="3"/>
  <c r="E50" i="3" s="1"/>
  <c r="E12" i="4" s="1"/>
  <c r="Z49" i="3"/>
  <c r="Z50" i="3" s="1"/>
  <c r="Z12" i="4" s="1"/>
  <c r="T49" i="3"/>
  <c r="T50" i="3" s="1"/>
  <c r="T12" i="4" s="1"/>
  <c r="N49" i="3"/>
  <c r="N50" i="3" s="1"/>
  <c r="N12" i="4" s="1"/>
  <c r="J49" i="3"/>
  <c r="J50" i="3" s="1"/>
  <c r="J12" i="4" s="1"/>
  <c r="F49" i="3"/>
  <c r="F50" i="3" s="1"/>
  <c r="F12" i="4" s="1"/>
  <c r="AB49" i="3"/>
  <c r="AB50" i="3" s="1"/>
  <c r="AB12" i="4" s="1"/>
  <c r="Z36" i="2"/>
  <c r="Z38" i="2"/>
  <c r="Z40" i="2"/>
  <c r="Z37" i="2"/>
  <c r="Z41" i="2"/>
  <c r="AA34" i="2"/>
  <c r="Z39" i="2"/>
  <c r="AI27" i="2"/>
  <c r="AI29" i="2"/>
  <c r="AI31" i="2"/>
  <c r="AJ24" i="2"/>
  <c r="AK24" i="2" s="1"/>
  <c r="AL24" i="2" s="1"/>
  <c r="AI28" i="2"/>
  <c r="AI26" i="2"/>
  <c r="AI30" i="2"/>
  <c r="W48" i="3"/>
  <c r="AC34" i="3"/>
  <c r="T28" i="3"/>
  <c r="Y49" i="3"/>
  <c r="Y50" i="3" s="1"/>
  <c r="Y12" i="4" s="1"/>
  <c r="S49" i="3"/>
  <c r="S50" i="3" s="1"/>
  <c r="S12" i="4" s="1"/>
  <c r="O49" i="3"/>
  <c r="O50" i="3" s="1"/>
  <c r="O12" i="4" s="1"/>
  <c r="K49" i="3"/>
  <c r="K50" i="3" s="1"/>
  <c r="K12" i="4" s="1"/>
  <c r="G49" i="3"/>
  <c r="G50" i="3" s="1"/>
  <c r="G12" i="4" s="1"/>
  <c r="C49" i="3"/>
  <c r="X49" i="3"/>
  <c r="X50" i="3" s="1"/>
  <c r="X12" i="4" s="1"/>
  <c r="R49" i="3"/>
  <c r="R50" i="3" s="1"/>
  <c r="R12" i="4" s="1"/>
  <c r="L49" i="3"/>
  <c r="L50" i="3" s="1"/>
  <c r="L12" i="4" s="1"/>
  <c r="H49" i="3"/>
  <c r="H50" i="3" s="1"/>
  <c r="H12" i="4" s="1"/>
  <c r="R28" i="3" l="1"/>
  <c r="Y75" i="3"/>
  <c r="L75" i="3"/>
  <c r="I75" i="3"/>
  <c r="Y61" i="2"/>
  <c r="P108" i="2"/>
  <c r="P109" i="2"/>
  <c r="P106" i="2"/>
  <c r="P107" i="2"/>
  <c r="P110" i="2"/>
  <c r="P111" i="2"/>
  <c r="T105" i="3" s="1"/>
  <c r="Q104" i="2"/>
  <c r="AA28" i="3"/>
  <c r="O75" i="3"/>
  <c r="X75" i="3"/>
  <c r="D75" i="3"/>
  <c r="Q75" i="3"/>
  <c r="T75" i="3"/>
  <c r="V75" i="3" s="1"/>
  <c r="F75" i="3"/>
  <c r="V14" i="3"/>
  <c r="C105" i="3"/>
  <c r="Y60" i="2"/>
  <c r="Y58" i="2"/>
  <c r="W56" i="3"/>
  <c r="AC56" i="3" s="1"/>
  <c r="X105" i="3"/>
  <c r="P14" i="3"/>
  <c r="Y57" i="2"/>
  <c r="G75" i="3"/>
  <c r="AA75" i="3"/>
  <c r="G105" i="3"/>
  <c r="O105" i="3"/>
  <c r="L14" i="2"/>
  <c r="K18" i="2"/>
  <c r="K16" i="2"/>
  <c r="K17" i="2"/>
  <c r="K21" i="2"/>
  <c r="K19" i="2"/>
  <c r="K20" i="2"/>
  <c r="H105" i="3"/>
  <c r="I28" i="3"/>
  <c r="S75" i="3"/>
  <c r="C75" i="3"/>
  <c r="H75" i="3"/>
  <c r="U75" i="3"/>
  <c r="W115" i="3"/>
  <c r="AC115" i="3" s="1"/>
  <c r="Y105" i="3"/>
  <c r="AB54" i="2"/>
  <c r="AA56" i="2"/>
  <c r="AA57" i="2"/>
  <c r="AA59" i="2"/>
  <c r="AA58" i="2"/>
  <c r="AA61" i="2"/>
  <c r="AA60" i="2"/>
  <c r="M105" i="3"/>
  <c r="Y59" i="2"/>
  <c r="D105" i="3"/>
  <c r="Y76" i="2"/>
  <c r="Y78" i="2"/>
  <c r="Y77" i="2"/>
  <c r="Y81" i="2"/>
  <c r="Z74" i="2"/>
  <c r="Y80" i="2"/>
  <c r="Y79" i="2"/>
  <c r="Z118" i="2"/>
  <c r="AA114" i="2"/>
  <c r="Z119" i="2"/>
  <c r="Z116" i="2"/>
  <c r="Z120" i="2"/>
  <c r="Z117" i="2"/>
  <c r="Z121" i="2"/>
  <c r="N7" i="2"/>
  <c r="N11" i="2"/>
  <c r="N6" i="2"/>
  <c r="S5" i="3" s="1"/>
  <c r="N10" i="2"/>
  <c r="N9" i="2"/>
  <c r="O4" i="2"/>
  <c r="P4" i="2" s="1"/>
  <c r="Q4" i="2" s="1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N8" i="2"/>
  <c r="L96" i="2"/>
  <c r="L97" i="2"/>
  <c r="L101" i="2"/>
  <c r="M94" i="2"/>
  <c r="L99" i="2"/>
  <c r="L100" i="2"/>
  <c r="L98" i="2"/>
  <c r="G5" i="3"/>
  <c r="I5" i="3"/>
  <c r="P67" i="3"/>
  <c r="AF67" i="2"/>
  <c r="AF69" i="2"/>
  <c r="AF71" i="2"/>
  <c r="AF66" i="2"/>
  <c r="AF68" i="2"/>
  <c r="AF70" i="2"/>
  <c r="AG64" i="2"/>
  <c r="AD84" i="2"/>
  <c r="AC88" i="2"/>
  <c r="AC90" i="2"/>
  <c r="AC86" i="2"/>
  <c r="AC87" i="2"/>
  <c r="AC89" i="2"/>
  <c r="AC91" i="2"/>
  <c r="Z75" i="3"/>
  <c r="N75" i="3"/>
  <c r="K5" i="3"/>
  <c r="U5" i="3"/>
  <c r="V67" i="3"/>
  <c r="P49" i="3"/>
  <c r="C50" i="3"/>
  <c r="C12" i="4" s="1"/>
  <c r="AC48" i="3"/>
  <c r="V49" i="3"/>
  <c r="V50" i="3" s="1"/>
  <c r="V12" i="4" s="1"/>
  <c r="Q50" i="3"/>
  <c r="Q12" i="4" s="1"/>
  <c r="C28" i="3"/>
  <c r="AB28" i="3"/>
  <c r="J28" i="3"/>
  <c r="Y28" i="3"/>
  <c r="S28" i="3"/>
  <c r="L28" i="3"/>
  <c r="O28" i="3"/>
  <c r="M28" i="3"/>
  <c r="F28" i="3"/>
  <c r="Z28" i="3"/>
  <c r="E28" i="3"/>
  <c r="U28" i="3"/>
  <c r="N28" i="3"/>
  <c r="AL27" i="2"/>
  <c r="AL29" i="2"/>
  <c r="AL31" i="2"/>
  <c r="AL26" i="2"/>
  <c r="AL30" i="2"/>
  <c r="AL28" i="2"/>
  <c r="AA36" i="2"/>
  <c r="AA37" i="2"/>
  <c r="AA39" i="2"/>
  <c r="AA41" i="2"/>
  <c r="AB34" i="2"/>
  <c r="AA40" i="2"/>
  <c r="AA38" i="2"/>
  <c r="Q28" i="3"/>
  <c r="G28" i="3"/>
  <c r="K28" i="3"/>
  <c r="D28" i="3"/>
  <c r="X28" i="3"/>
  <c r="H28" i="3"/>
  <c r="Q107" i="2" l="1"/>
  <c r="Q106" i="2"/>
  <c r="Q111" i="2"/>
  <c r="Q109" i="2"/>
  <c r="Q108" i="2"/>
  <c r="R104" i="2"/>
  <c r="Q110" i="2"/>
  <c r="K105" i="3"/>
  <c r="F105" i="3"/>
  <c r="L105" i="3"/>
  <c r="AB105" i="3"/>
  <c r="Q105" i="3"/>
  <c r="Z5" i="3"/>
  <c r="N5" i="3"/>
  <c r="AA5" i="3"/>
  <c r="J5" i="3"/>
  <c r="H5" i="3"/>
  <c r="U105" i="3"/>
  <c r="S105" i="3"/>
  <c r="AA105" i="3"/>
  <c r="I105" i="3"/>
  <c r="E105" i="3"/>
  <c r="P105" i="3" s="1"/>
  <c r="R105" i="3"/>
  <c r="AB5" i="3"/>
  <c r="Q5" i="3"/>
  <c r="E5" i="3"/>
  <c r="M5" i="3"/>
  <c r="C5" i="3"/>
  <c r="T5" i="3"/>
  <c r="V5" i="3" s="1"/>
  <c r="R5" i="3"/>
  <c r="P75" i="3"/>
  <c r="W75" i="3" s="1"/>
  <c r="AC75" i="3" s="1"/>
  <c r="D5" i="3"/>
  <c r="AB57" i="2"/>
  <c r="AB58" i="2"/>
  <c r="AB56" i="2"/>
  <c r="AB60" i="2"/>
  <c r="AB59" i="2"/>
  <c r="AC54" i="2"/>
  <c r="AB61" i="2"/>
  <c r="L17" i="2"/>
  <c r="L21" i="2"/>
  <c r="L20" i="2"/>
  <c r="L18" i="2"/>
  <c r="M14" i="2"/>
  <c r="L19" i="2"/>
  <c r="L16" i="2"/>
  <c r="W14" i="3"/>
  <c r="Z105" i="3"/>
  <c r="N105" i="3"/>
  <c r="J105" i="3"/>
  <c r="AG66" i="2"/>
  <c r="AG67" i="2"/>
  <c r="AG69" i="2"/>
  <c r="AG71" i="2"/>
  <c r="AH64" i="2"/>
  <c r="AG68" i="2"/>
  <c r="AG70" i="2"/>
  <c r="M96" i="2"/>
  <c r="N94" i="2"/>
  <c r="M100" i="2"/>
  <c r="M98" i="2"/>
  <c r="M99" i="2"/>
  <c r="M101" i="2"/>
  <c r="M97" i="2"/>
  <c r="L5" i="3"/>
  <c r="X5" i="3"/>
  <c r="O5" i="3"/>
  <c r="Y5" i="3"/>
  <c r="AD86" i="2"/>
  <c r="AD88" i="2"/>
  <c r="C87" i="3" s="1"/>
  <c r="AD90" i="2"/>
  <c r="AE84" i="2"/>
  <c r="AD87" i="2"/>
  <c r="AD89" i="2"/>
  <c r="AD91" i="2"/>
  <c r="AE7" i="2"/>
  <c r="AE11" i="2"/>
  <c r="AE8" i="2"/>
  <c r="AF4" i="2"/>
  <c r="AE9" i="2"/>
  <c r="AE6" i="2"/>
  <c r="AE10" i="2"/>
  <c r="AA116" i="2"/>
  <c r="AA119" i="2"/>
  <c r="AB114" i="2"/>
  <c r="AA120" i="2"/>
  <c r="AA117" i="2"/>
  <c r="AA121" i="2"/>
  <c r="AA118" i="2"/>
  <c r="Z76" i="2"/>
  <c r="Z78" i="2"/>
  <c r="Z80" i="2"/>
  <c r="AA74" i="2"/>
  <c r="Z77" i="2"/>
  <c r="Z79" i="2"/>
  <c r="Z81" i="2"/>
  <c r="W67" i="3"/>
  <c r="AC67" i="3" s="1"/>
  <c r="F5" i="3"/>
  <c r="K87" i="3"/>
  <c r="U87" i="3"/>
  <c r="S87" i="3"/>
  <c r="AB36" i="2"/>
  <c r="AB38" i="2"/>
  <c r="E37" i="3" s="1"/>
  <c r="E40" i="3" s="1"/>
  <c r="E7" i="4" s="1"/>
  <c r="AB40" i="2"/>
  <c r="AB39" i="2"/>
  <c r="M37" i="3" s="1"/>
  <c r="M40" i="3" s="1"/>
  <c r="M7" i="4" s="1"/>
  <c r="AB37" i="2"/>
  <c r="AB41" i="2"/>
  <c r="AC34" i="2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N37" i="3"/>
  <c r="N40" i="3" s="1"/>
  <c r="N7" i="4" s="1"/>
  <c r="X37" i="3"/>
  <c r="X40" i="3" s="1"/>
  <c r="X7" i="4" s="1"/>
  <c r="K37" i="3"/>
  <c r="K40" i="3" s="1"/>
  <c r="K7" i="4" s="1"/>
  <c r="V28" i="3"/>
  <c r="AB29" i="3"/>
  <c r="AB30" i="3" s="1"/>
  <c r="AB6" i="4" s="1"/>
  <c r="C29" i="3"/>
  <c r="C30" i="3" s="1"/>
  <c r="C6" i="4" s="1"/>
  <c r="E29" i="3"/>
  <c r="G29" i="3"/>
  <c r="G30" i="3" s="1"/>
  <c r="G6" i="4" s="1"/>
  <c r="I29" i="3"/>
  <c r="I30" i="3" s="1"/>
  <c r="I6" i="4" s="1"/>
  <c r="K29" i="3"/>
  <c r="K30" i="3" s="1"/>
  <c r="K6" i="4" s="1"/>
  <c r="M29" i="3"/>
  <c r="M30" i="3" s="1"/>
  <c r="M6" i="4" s="1"/>
  <c r="O29" i="3"/>
  <c r="O30" i="3" s="1"/>
  <c r="O6" i="4" s="1"/>
  <c r="Q29" i="3"/>
  <c r="Q30" i="3" s="1"/>
  <c r="Q6" i="4" s="1"/>
  <c r="S29" i="3"/>
  <c r="S30" i="3" s="1"/>
  <c r="S6" i="4" s="1"/>
  <c r="U29" i="3"/>
  <c r="U30" i="3" s="1"/>
  <c r="U6" i="4" s="1"/>
  <c r="Y29" i="3"/>
  <c r="Y30" i="3" s="1"/>
  <c r="Y6" i="4" s="1"/>
  <c r="AA29" i="3"/>
  <c r="AA30" i="3" s="1"/>
  <c r="AA6" i="4" s="1"/>
  <c r="D29" i="3"/>
  <c r="D30" i="3" s="1"/>
  <c r="D6" i="4" s="1"/>
  <c r="F29" i="3"/>
  <c r="H29" i="3"/>
  <c r="H30" i="3" s="1"/>
  <c r="H6" i="4" s="1"/>
  <c r="J29" i="3"/>
  <c r="L29" i="3"/>
  <c r="L30" i="3" s="1"/>
  <c r="L6" i="4" s="1"/>
  <c r="N29" i="3"/>
  <c r="R29" i="3"/>
  <c r="R30" i="3" s="1"/>
  <c r="R6" i="4" s="1"/>
  <c r="T29" i="3"/>
  <c r="T30" i="3" s="1"/>
  <c r="T6" i="4" s="1"/>
  <c r="X29" i="3"/>
  <c r="X30" i="3" s="1"/>
  <c r="X6" i="4" s="1"/>
  <c r="Z29" i="3"/>
  <c r="Z30" i="3" s="1"/>
  <c r="Z6" i="4" s="1"/>
  <c r="P28" i="3"/>
  <c r="W49" i="3"/>
  <c r="P50" i="3"/>
  <c r="P12" i="4" s="1"/>
  <c r="N30" i="3"/>
  <c r="N6" i="4" s="1"/>
  <c r="E30" i="3"/>
  <c r="E6" i="4" s="1"/>
  <c r="F30" i="3"/>
  <c r="F6" i="4" s="1"/>
  <c r="J30" i="3"/>
  <c r="J6" i="4" s="1"/>
  <c r="J37" i="3"/>
  <c r="J40" i="3" s="1"/>
  <c r="J7" i="4" s="1"/>
  <c r="Q37" i="3"/>
  <c r="AB37" i="3"/>
  <c r="AB40" i="3" s="1"/>
  <c r="AB7" i="4" s="1"/>
  <c r="H37" i="3"/>
  <c r="H40" i="3" s="1"/>
  <c r="H7" i="4" s="1"/>
  <c r="O37" i="3"/>
  <c r="O40" i="3" s="1"/>
  <c r="O7" i="4" s="1"/>
  <c r="W105" i="3" l="1"/>
  <c r="AC105" i="3" s="1"/>
  <c r="Y37" i="3"/>
  <c r="Y40" i="3" s="1"/>
  <c r="Y7" i="4" s="1"/>
  <c r="I37" i="3"/>
  <c r="I40" i="3" s="1"/>
  <c r="I7" i="4" s="1"/>
  <c r="T37" i="3"/>
  <c r="T40" i="3" s="1"/>
  <c r="T7" i="4" s="1"/>
  <c r="S37" i="3"/>
  <c r="S40" i="3" s="1"/>
  <c r="S7" i="4" s="1"/>
  <c r="AB87" i="3"/>
  <c r="P5" i="3"/>
  <c r="W5" i="3" s="1"/>
  <c r="AC5" i="3" s="1"/>
  <c r="AC56" i="2"/>
  <c r="AD54" i="2"/>
  <c r="AC57" i="2"/>
  <c r="AC58" i="2"/>
  <c r="AC59" i="2"/>
  <c r="AC60" i="2"/>
  <c r="AC61" i="2"/>
  <c r="V105" i="3"/>
  <c r="D37" i="3"/>
  <c r="D40" i="3" s="1"/>
  <c r="D7" i="4" s="1"/>
  <c r="Z37" i="3"/>
  <c r="Z40" i="3" s="1"/>
  <c r="Z7" i="4" s="1"/>
  <c r="AC14" i="3"/>
  <c r="N14" i="2"/>
  <c r="M20" i="2"/>
  <c r="M16" i="2"/>
  <c r="M19" i="2"/>
  <c r="M21" i="2"/>
  <c r="M17" i="2"/>
  <c r="M18" i="2"/>
  <c r="R37" i="3"/>
  <c r="R40" i="3" s="1"/>
  <c r="R7" i="4" s="1"/>
  <c r="AA37" i="3"/>
  <c r="AA40" i="3" s="1"/>
  <c r="AA7" i="4" s="1"/>
  <c r="C37" i="3"/>
  <c r="C40" i="3" s="1"/>
  <c r="C7" i="4" s="1"/>
  <c r="L37" i="3"/>
  <c r="L40" i="3" s="1"/>
  <c r="L7" i="4" s="1"/>
  <c r="U37" i="3"/>
  <c r="U40" i="3" s="1"/>
  <c r="U7" i="4" s="1"/>
  <c r="Q87" i="3"/>
  <c r="R106" i="2"/>
  <c r="R109" i="2"/>
  <c r="S104" i="2"/>
  <c r="R111" i="2"/>
  <c r="R110" i="2"/>
  <c r="R107" i="2"/>
  <c r="R108" i="2"/>
  <c r="AE86" i="2"/>
  <c r="AE90" i="2"/>
  <c r="AE89" i="2"/>
  <c r="AF84" i="2"/>
  <c r="AG84" i="2" s="1"/>
  <c r="AH84" i="2" s="1"/>
  <c r="AI84" i="2" s="1"/>
  <c r="AJ84" i="2" s="1"/>
  <c r="AK84" i="2" s="1"/>
  <c r="AL84" i="2" s="1"/>
  <c r="AM84" i="2" s="1"/>
  <c r="AE88" i="2"/>
  <c r="AE87" i="2"/>
  <c r="AE91" i="2"/>
  <c r="F37" i="3"/>
  <c r="F40" i="3" s="1"/>
  <c r="F7" i="4" s="1"/>
  <c r="G37" i="3"/>
  <c r="G40" i="3" s="1"/>
  <c r="G7" i="4" s="1"/>
  <c r="M87" i="3"/>
  <c r="J87" i="3"/>
  <c r="AA87" i="3"/>
  <c r="G87" i="3"/>
  <c r="Z87" i="3"/>
  <c r="D87" i="3"/>
  <c r="Y87" i="3"/>
  <c r="AA76" i="2"/>
  <c r="AA77" i="2"/>
  <c r="AA81" i="2"/>
  <c r="AA80" i="2"/>
  <c r="AB74" i="2"/>
  <c r="AA79" i="2"/>
  <c r="AA78" i="2"/>
  <c r="AB116" i="2"/>
  <c r="AB120" i="2"/>
  <c r="AB117" i="2"/>
  <c r="AB121" i="2"/>
  <c r="AB118" i="2"/>
  <c r="AC114" i="2"/>
  <c r="AB119" i="2"/>
  <c r="AF8" i="2"/>
  <c r="AF6" i="2"/>
  <c r="AF9" i="2"/>
  <c r="AG4" i="2"/>
  <c r="AF10" i="2"/>
  <c r="AF7" i="2"/>
  <c r="AF11" i="2"/>
  <c r="F87" i="3"/>
  <c r="X87" i="3"/>
  <c r="N96" i="2"/>
  <c r="N99" i="2"/>
  <c r="O94" i="2"/>
  <c r="P94" i="2" s="1"/>
  <c r="Q94" i="2" s="1"/>
  <c r="N97" i="2"/>
  <c r="N101" i="2"/>
  <c r="N98" i="2"/>
  <c r="N100" i="2"/>
  <c r="AH66" i="2"/>
  <c r="AH68" i="2"/>
  <c r="AH70" i="2"/>
  <c r="AI64" i="2"/>
  <c r="AH67" i="2"/>
  <c r="AH69" i="2"/>
  <c r="AH71" i="2"/>
  <c r="E87" i="3"/>
  <c r="R87" i="3"/>
  <c r="T87" i="3"/>
  <c r="N87" i="3"/>
  <c r="H87" i="3"/>
  <c r="O87" i="3"/>
  <c r="I87" i="3"/>
  <c r="L87" i="3"/>
  <c r="Q40" i="3"/>
  <c r="Q7" i="4" s="1"/>
  <c r="AC49" i="3"/>
  <c r="AC50" i="3" s="1"/>
  <c r="AC12" i="4" s="1"/>
  <c r="W50" i="3"/>
  <c r="W12" i="4" s="1"/>
  <c r="P29" i="3"/>
  <c r="P30" i="3" s="1"/>
  <c r="P6" i="4" s="1"/>
  <c r="W28" i="3"/>
  <c r="P37" i="3"/>
  <c r="V29" i="3"/>
  <c r="V30" i="3" s="1"/>
  <c r="V6" i="4" s="1"/>
  <c r="P87" i="3" l="1"/>
  <c r="S111" i="2"/>
  <c r="S108" i="2"/>
  <c r="S109" i="2"/>
  <c r="S106" i="2"/>
  <c r="G106" i="3" s="1"/>
  <c r="T104" i="2"/>
  <c r="U104" i="2" s="1"/>
  <c r="V104" i="2" s="1"/>
  <c r="W104" i="2" s="1"/>
  <c r="X104" i="2" s="1"/>
  <c r="Y104" i="2" s="1"/>
  <c r="Z104" i="2" s="1"/>
  <c r="AA104" i="2" s="1"/>
  <c r="AB104" i="2" s="1"/>
  <c r="AC104" i="2" s="1"/>
  <c r="AD104" i="2" s="1"/>
  <c r="AE104" i="2" s="1"/>
  <c r="S107" i="2"/>
  <c r="Y106" i="3" s="1"/>
  <c r="S110" i="2"/>
  <c r="N19" i="2"/>
  <c r="O14" i="2"/>
  <c r="P14" i="2" s="1"/>
  <c r="Q14" i="2" s="1"/>
  <c r="R14" i="2" s="1"/>
  <c r="S14" i="2" s="1"/>
  <c r="T14" i="2" s="1"/>
  <c r="U14" i="2" s="1"/>
  <c r="V14" i="2" s="1"/>
  <c r="W14" i="2" s="1"/>
  <c r="X14" i="2" s="1"/>
  <c r="Y14" i="2" s="1"/>
  <c r="Z14" i="2" s="1"/>
  <c r="AA14" i="2" s="1"/>
  <c r="AB14" i="2" s="1"/>
  <c r="AC14" i="2" s="1"/>
  <c r="AD14" i="2" s="1"/>
  <c r="AE14" i="2" s="1"/>
  <c r="AF14" i="2" s="1"/>
  <c r="AG14" i="2" s="1"/>
  <c r="N18" i="2"/>
  <c r="G15" i="3" s="1"/>
  <c r="N16" i="2"/>
  <c r="N17" i="2"/>
  <c r="L15" i="3" s="1"/>
  <c r="N20" i="2"/>
  <c r="N21" i="2"/>
  <c r="AD57" i="2"/>
  <c r="AE54" i="2"/>
  <c r="AF54" i="2" s="1"/>
  <c r="AD56" i="2"/>
  <c r="AD58" i="2"/>
  <c r="O57" i="3" s="1"/>
  <c r="AD59" i="2"/>
  <c r="AD60" i="2"/>
  <c r="AD61" i="2"/>
  <c r="X15" i="3"/>
  <c r="N15" i="3"/>
  <c r="K106" i="3"/>
  <c r="G57" i="3"/>
  <c r="J15" i="3"/>
  <c r="O15" i="3"/>
  <c r="C15" i="3"/>
  <c r="S15" i="3"/>
  <c r="V37" i="3"/>
  <c r="V40" i="3" s="1"/>
  <c r="V7" i="4" s="1"/>
  <c r="F106" i="3"/>
  <c r="X106" i="3"/>
  <c r="D106" i="3"/>
  <c r="Y15" i="3"/>
  <c r="Q57" i="3"/>
  <c r="AB57" i="3"/>
  <c r="T15" i="3"/>
  <c r="AJ64" i="2"/>
  <c r="AI68" i="2"/>
  <c r="AI70" i="2"/>
  <c r="AI66" i="2"/>
  <c r="AI67" i="2"/>
  <c r="AI69" i="2"/>
  <c r="AI71" i="2"/>
  <c r="Q99" i="2"/>
  <c r="Q96" i="2"/>
  <c r="Q100" i="2"/>
  <c r="Q97" i="2"/>
  <c r="Q101" i="2"/>
  <c r="Q98" i="2"/>
  <c r="R94" i="2"/>
  <c r="S94" i="2" s="1"/>
  <c r="T94" i="2" s="1"/>
  <c r="U94" i="2" s="1"/>
  <c r="V94" i="2" s="1"/>
  <c r="W94" i="2" s="1"/>
  <c r="X94" i="2" s="1"/>
  <c r="Y94" i="2" s="1"/>
  <c r="Z94" i="2" s="1"/>
  <c r="AA94" i="2" s="1"/>
  <c r="AB94" i="2" s="1"/>
  <c r="AC94" i="2" s="1"/>
  <c r="AD94" i="2" s="1"/>
  <c r="AE94" i="2" s="1"/>
  <c r="AF94" i="2" s="1"/>
  <c r="AG94" i="2" s="1"/>
  <c r="T95" i="3"/>
  <c r="I95" i="3"/>
  <c r="Y95" i="3"/>
  <c r="N95" i="3"/>
  <c r="E95" i="3"/>
  <c r="S95" i="3"/>
  <c r="J95" i="3"/>
  <c r="AB95" i="3"/>
  <c r="O95" i="3"/>
  <c r="F95" i="3"/>
  <c r="X95" i="3"/>
  <c r="K95" i="3"/>
  <c r="AA95" i="3"/>
  <c r="R95" i="3"/>
  <c r="G95" i="3"/>
  <c r="U95" i="3"/>
  <c r="L95" i="3"/>
  <c r="C95" i="3"/>
  <c r="Q95" i="3"/>
  <c r="H95" i="3"/>
  <c r="Z95" i="3"/>
  <c r="M95" i="3"/>
  <c r="AG7" i="2"/>
  <c r="AG11" i="2"/>
  <c r="AG8" i="2"/>
  <c r="AH4" i="2"/>
  <c r="AG9" i="2"/>
  <c r="AG6" i="2"/>
  <c r="AG10" i="2"/>
  <c r="AC117" i="2"/>
  <c r="AC121" i="2"/>
  <c r="AC118" i="2"/>
  <c r="AC116" i="2"/>
  <c r="AC119" i="2"/>
  <c r="AD114" i="2"/>
  <c r="AC120" i="2"/>
  <c r="AB76" i="2"/>
  <c r="AB78" i="2"/>
  <c r="AB80" i="2"/>
  <c r="AC74" i="2"/>
  <c r="AB77" i="2"/>
  <c r="AB79" i="2"/>
  <c r="AB81" i="2"/>
  <c r="AB88" i="3"/>
  <c r="AB90" i="3" s="1"/>
  <c r="AB16" i="4" s="1"/>
  <c r="F88" i="3"/>
  <c r="F90" i="3" s="1"/>
  <c r="F16" i="4" s="1"/>
  <c r="J88" i="3"/>
  <c r="J90" i="3" s="1"/>
  <c r="J16" i="4" s="1"/>
  <c r="N88" i="3"/>
  <c r="N90" i="3" s="1"/>
  <c r="N16" i="4" s="1"/>
  <c r="T88" i="3"/>
  <c r="T90" i="3" s="1"/>
  <c r="T16" i="4" s="1"/>
  <c r="Z88" i="3"/>
  <c r="Z90" i="3" s="1"/>
  <c r="Z16" i="4" s="1"/>
  <c r="E88" i="3"/>
  <c r="I88" i="3"/>
  <c r="I90" i="3" s="1"/>
  <c r="I16" i="4" s="1"/>
  <c r="Q88" i="3"/>
  <c r="AA88" i="3"/>
  <c r="AA90" i="3" s="1"/>
  <c r="AA16" i="4" s="1"/>
  <c r="D88" i="3"/>
  <c r="D90" i="3" s="1"/>
  <c r="D16" i="4" s="1"/>
  <c r="H88" i="3"/>
  <c r="H90" i="3" s="1"/>
  <c r="H16" i="4" s="1"/>
  <c r="L88" i="3"/>
  <c r="L90" i="3" s="1"/>
  <c r="L16" i="4" s="1"/>
  <c r="R88" i="3"/>
  <c r="X88" i="3"/>
  <c r="X90" i="3" s="1"/>
  <c r="X16" i="4" s="1"/>
  <c r="C88" i="3"/>
  <c r="G88" i="3"/>
  <c r="G90" i="3" s="1"/>
  <c r="G16" i="4" s="1"/>
  <c r="K88" i="3"/>
  <c r="K90" i="3" s="1"/>
  <c r="K16" i="4" s="1"/>
  <c r="O88" i="3"/>
  <c r="O90" i="3" s="1"/>
  <c r="O16" i="4" s="1"/>
  <c r="S88" i="3"/>
  <c r="S90" i="3" s="1"/>
  <c r="S16" i="4" s="1"/>
  <c r="Y88" i="3"/>
  <c r="Y90" i="3" s="1"/>
  <c r="Y16" i="4" s="1"/>
  <c r="M88" i="3"/>
  <c r="M90" i="3" s="1"/>
  <c r="M16" i="4" s="1"/>
  <c r="U88" i="3"/>
  <c r="U90" i="3" s="1"/>
  <c r="U16" i="4" s="1"/>
  <c r="R90" i="3"/>
  <c r="R16" i="4" s="1"/>
  <c r="D95" i="3"/>
  <c r="V87" i="3"/>
  <c r="W87" i="3" s="1"/>
  <c r="E90" i="3"/>
  <c r="E16" i="4" s="1"/>
  <c r="W37" i="3"/>
  <c r="P40" i="3"/>
  <c r="P7" i="4" s="1"/>
  <c r="AC28" i="3"/>
  <c r="W29" i="3"/>
  <c r="AC29" i="3" s="1"/>
  <c r="Z15" i="3" l="1"/>
  <c r="AB15" i="3"/>
  <c r="F57" i="3"/>
  <c r="E15" i="3"/>
  <c r="M106" i="3"/>
  <c r="H15" i="3"/>
  <c r="K15" i="3"/>
  <c r="L57" i="3"/>
  <c r="R15" i="3"/>
  <c r="D57" i="3"/>
  <c r="J57" i="3"/>
  <c r="N57" i="3"/>
  <c r="AE61" i="2"/>
  <c r="AE56" i="2"/>
  <c r="AE59" i="2"/>
  <c r="AE60" i="2"/>
  <c r="AE57" i="2"/>
  <c r="AE58" i="2"/>
  <c r="AA57" i="3"/>
  <c r="Y57" i="3"/>
  <c r="S57" i="3"/>
  <c r="U57" i="3"/>
  <c r="M57" i="3"/>
  <c r="K57" i="3"/>
  <c r="X57" i="3"/>
  <c r="T57" i="3"/>
  <c r="Z57" i="3"/>
  <c r="H57" i="3"/>
  <c r="C57" i="3"/>
  <c r="E57" i="3"/>
  <c r="R57" i="3"/>
  <c r="I57" i="3"/>
  <c r="AH14" i="2"/>
  <c r="AG20" i="2"/>
  <c r="AG17" i="2"/>
  <c r="AG16" i="2"/>
  <c r="AG21" i="2"/>
  <c r="AG19" i="2"/>
  <c r="AG18" i="2"/>
  <c r="AE109" i="2"/>
  <c r="AE111" i="2"/>
  <c r="AE106" i="2"/>
  <c r="AE108" i="2"/>
  <c r="AE110" i="2"/>
  <c r="AF104" i="2"/>
  <c r="AE107" i="2"/>
  <c r="V57" i="3"/>
  <c r="AB106" i="3"/>
  <c r="AG54" i="2"/>
  <c r="AF57" i="2"/>
  <c r="AF58" i="2"/>
  <c r="AF59" i="2"/>
  <c r="AF60" i="2"/>
  <c r="AF61" i="2"/>
  <c r="AF56" i="2"/>
  <c r="E106" i="3"/>
  <c r="R106" i="3"/>
  <c r="L106" i="3"/>
  <c r="Z106" i="3"/>
  <c r="O106" i="3"/>
  <c r="H106" i="3"/>
  <c r="U106" i="3"/>
  <c r="N106" i="3"/>
  <c r="J106" i="3"/>
  <c r="C106" i="3"/>
  <c r="S106" i="3"/>
  <c r="I15" i="3"/>
  <c r="Q15" i="3"/>
  <c r="I106" i="3"/>
  <c r="M15" i="3"/>
  <c r="D15" i="3"/>
  <c r="P15" i="3" s="1"/>
  <c r="T106" i="3"/>
  <c r="Q106" i="3"/>
  <c r="AA15" i="3"/>
  <c r="U15" i="3"/>
  <c r="F15" i="3"/>
  <c r="AA106" i="3"/>
  <c r="AC87" i="3"/>
  <c r="AD74" i="2"/>
  <c r="AC80" i="2"/>
  <c r="AC79" i="2"/>
  <c r="AC76" i="2"/>
  <c r="AC78" i="2"/>
  <c r="AC77" i="2"/>
  <c r="AC81" i="2"/>
  <c r="AH8" i="2"/>
  <c r="AH6" i="2"/>
  <c r="AH9" i="2"/>
  <c r="AI4" i="2"/>
  <c r="AH10" i="2"/>
  <c r="AH7" i="2"/>
  <c r="AH11" i="2"/>
  <c r="AH94" i="2"/>
  <c r="AG99" i="2"/>
  <c r="AG96" i="2"/>
  <c r="AG100" i="2"/>
  <c r="AG97" i="2"/>
  <c r="AG101" i="2"/>
  <c r="AG98" i="2"/>
  <c r="P88" i="3"/>
  <c r="C90" i="3"/>
  <c r="C16" i="4" s="1"/>
  <c r="P95" i="3"/>
  <c r="V88" i="3"/>
  <c r="V90" i="3" s="1"/>
  <c r="V16" i="4" s="1"/>
  <c r="Q90" i="3"/>
  <c r="Q16" i="4" s="1"/>
  <c r="AD118" i="2"/>
  <c r="J116" i="3" s="1"/>
  <c r="AD117" i="2"/>
  <c r="L116" i="3" s="1"/>
  <c r="AD121" i="2"/>
  <c r="N116" i="3" s="1"/>
  <c r="AD116" i="2"/>
  <c r="AD120" i="2"/>
  <c r="AD119" i="2"/>
  <c r="AE114" i="2"/>
  <c r="R116" i="3"/>
  <c r="E116" i="3"/>
  <c r="G116" i="3"/>
  <c r="V95" i="3"/>
  <c r="AB96" i="3"/>
  <c r="F96" i="3"/>
  <c r="J96" i="3"/>
  <c r="N96" i="3"/>
  <c r="T96" i="3"/>
  <c r="Z96" i="3"/>
  <c r="E96" i="3"/>
  <c r="I96" i="3"/>
  <c r="M96" i="3"/>
  <c r="Q96" i="3"/>
  <c r="U96" i="3"/>
  <c r="AA96" i="3"/>
  <c r="D96" i="3"/>
  <c r="H96" i="3"/>
  <c r="L96" i="3"/>
  <c r="R96" i="3"/>
  <c r="X96" i="3"/>
  <c r="C96" i="3"/>
  <c r="G96" i="3"/>
  <c r="K96" i="3"/>
  <c r="O96" i="3"/>
  <c r="S96" i="3"/>
  <c r="Y96" i="3"/>
  <c r="AJ67" i="2"/>
  <c r="J68" i="3" s="1"/>
  <c r="AJ69" i="2"/>
  <c r="AJ71" i="2"/>
  <c r="AJ66" i="2"/>
  <c r="U68" i="3" s="1"/>
  <c r="AJ68" i="2"/>
  <c r="AJ70" i="2"/>
  <c r="AK64" i="2"/>
  <c r="AL64" i="2" s="1"/>
  <c r="F68" i="3"/>
  <c r="E68" i="3"/>
  <c r="C68" i="3"/>
  <c r="H68" i="3"/>
  <c r="W30" i="3"/>
  <c r="W6" i="4" s="1"/>
  <c r="AC37" i="3"/>
  <c r="AC40" i="3" s="1"/>
  <c r="AC7" i="4" s="1"/>
  <c r="W40" i="3"/>
  <c r="W7" i="4" s="1"/>
  <c r="AC30" i="3"/>
  <c r="AC6" i="4" s="1"/>
  <c r="O68" i="3" l="1"/>
  <c r="Y116" i="3"/>
  <c r="K116" i="3"/>
  <c r="AF111" i="2"/>
  <c r="AG104" i="2"/>
  <c r="AF108" i="2"/>
  <c r="AF110" i="2"/>
  <c r="AF106" i="2"/>
  <c r="AF107" i="2"/>
  <c r="AF109" i="2"/>
  <c r="AH18" i="2"/>
  <c r="AH21" i="2"/>
  <c r="AI14" i="2"/>
  <c r="AH17" i="2"/>
  <c r="AH20" i="2"/>
  <c r="AH19" i="2"/>
  <c r="AH16" i="2"/>
  <c r="P57" i="3"/>
  <c r="W57" i="3" s="1"/>
  <c r="AC57" i="3" s="1"/>
  <c r="G68" i="3"/>
  <c r="X116" i="3"/>
  <c r="I116" i="3"/>
  <c r="V106" i="3"/>
  <c r="P106" i="3"/>
  <c r="AG57" i="2"/>
  <c r="AG58" i="2"/>
  <c r="AG59" i="2"/>
  <c r="AG60" i="2"/>
  <c r="AG61" i="2"/>
  <c r="AH54" i="2"/>
  <c r="AG56" i="2"/>
  <c r="I68" i="3"/>
  <c r="K68" i="3"/>
  <c r="U116" i="3"/>
  <c r="AA116" i="3"/>
  <c r="V15" i="3"/>
  <c r="W15" i="3" s="1"/>
  <c r="Z68" i="3"/>
  <c r="L68" i="3"/>
  <c r="Q68" i="3"/>
  <c r="M68" i="3"/>
  <c r="S68" i="3"/>
  <c r="N68" i="3"/>
  <c r="AB68" i="3"/>
  <c r="T68" i="3"/>
  <c r="R68" i="3"/>
  <c r="X68" i="3"/>
  <c r="AA68" i="3"/>
  <c r="Y68" i="3"/>
  <c r="S116" i="3"/>
  <c r="Z116" i="3"/>
  <c r="H116" i="3"/>
  <c r="T116" i="3"/>
  <c r="M116" i="3"/>
  <c r="AB116" i="3"/>
  <c r="Q116" i="3"/>
  <c r="O116" i="3"/>
  <c r="F116" i="3"/>
  <c r="C116" i="3"/>
  <c r="AH98" i="2"/>
  <c r="AH96" i="2"/>
  <c r="AH99" i="2"/>
  <c r="AI94" i="2"/>
  <c r="AH100" i="2"/>
  <c r="AH97" i="2"/>
  <c r="AH101" i="2"/>
  <c r="AJ4" i="2"/>
  <c r="AI9" i="2"/>
  <c r="AI6" i="2"/>
  <c r="AI10" i="2"/>
  <c r="AI7" i="2"/>
  <c r="AI11" i="2"/>
  <c r="AI8" i="2"/>
  <c r="AD77" i="2"/>
  <c r="M77" i="3" s="1"/>
  <c r="AD79" i="2"/>
  <c r="J77" i="3" s="1"/>
  <c r="AD81" i="2"/>
  <c r="AD76" i="2"/>
  <c r="AD78" i="2"/>
  <c r="AD80" i="2"/>
  <c r="AE74" i="2"/>
  <c r="AL66" i="2"/>
  <c r="AL67" i="2"/>
  <c r="AL69" i="2"/>
  <c r="AL71" i="2"/>
  <c r="AM64" i="2"/>
  <c r="AL68" i="2"/>
  <c r="AL70" i="2"/>
  <c r="AE116" i="2"/>
  <c r="AE120" i="2"/>
  <c r="AE117" i="2"/>
  <c r="AE121" i="2"/>
  <c r="AE118" i="2"/>
  <c r="AF114" i="2"/>
  <c r="AE119" i="2"/>
  <c r="W95" i="3"/>
  <c r="W88" i="3"/>
  <c r="P90" i="3"/>
  <c r="P16" i="4" s="1"/>
  <c r="T77" i="3"/>
  <c r="U77" i="3"/>
  <c r="R77" i="3"/>
  <c r="G77" i="3"/>
  <c r="L77" i="3"/>
  <c r="P96" i="3"/>
  <c r="V96" i="3"/>
  <c r="D116" i="3"/>
  <c r="D68" i="3"/>
  <c r="AC15" i="3" l="1"/>
  <c r="Y77" i="3"/>
  <c r="D77" i="3"/>
  <c r="AA77" i="3"/>
  <c r="N77" i="3"/>
  <c r="O77" i="3"/>
  <c r="I77" i="3"/>
  <c r="H77" i="3"/>
  <c r="E77" i="3"/>
  <c r="V116" i="3"/>
  <c r="AH56" i="2"/>
  <c r="AI54" i="2"/>
  <c r="AH57" i="2"/>
  <c r="AH58" i="2"/>
  <c r="AH59" i="2"/>
  <c r="AH60" i="2"/>
  <c r="AH61" i="2"/>
  <c r="J18" i="3"/>
  <c r="AI17" i="2"/>
  <c r="L18" i="3" s="1"/>
  <c r="AI18" i="2"/>
  <c r="AI19" i="2"/>
  <c r="AI16" i="2"/>
  <c r="AJ14" i="2"/>
  <c r="AK14" i="2" s="1"/>
  <c r="AL14" i="2" s="1"/>
  <c r="AI21" i="2"/>
  <c r="AI20" i="2"/>
  <c r="AG111" i="2"/>
  <c r="AG106" i="2"/>
  <c r="AG107" i="2"/>
  <c r="AG109" i="2"/>
  <c r="AG108" i="2"/>
  <c r="AG110" i="2"/>
  <c r="AH104" i="2"/>
  <c r="S77" i="3"/>
  <c r="C77" i="3"/>
  <c r="Q18" i="3"/>
  <c r="X77" i="3"/>
  <c r="Z77" i="3"/>
  <c r="K77" i="3"/>
  <c r="Q77" i="3"/>
  <c r="W106" i="3"/>
  <c r="F18" i="3"/>
  <c r="AE78" i="2"/>
  <c r="AE77" i="2"/>
  <c r="AE79" i="2"/>
  <c r="AE76" i="2"/>
  <c r="AF74" i="2"/>
  <c r="AE80" i="2"/>
  <c r="AE81" i="2"/>
  <c r="W96" i="3"/>
  <c r="AC96" i="3" s="1"/>
  <c r="V77" i="3"/>
  <c r="AB77" i="3"/>
  <c r="P116" i="3"/>
  <c r="AC88" i="3"/>
  <c r="AC90" i="3" s="1"/>
  <c r="AC16" i="4" s="1"/>
  <c r="W90" i="3"/>
  <c r="W16" i="4" s="1"/>
  <c r="AC95" i="3"/>
  <c r="AF117" i="2"/>
  <c r="AF121" i="2"/>
  <c r="AF118" i="2"/>
  <c r="AF116" i="2"/>
  <c r="AF119" i="2"/>
  <c r="AG114" i="2"/>
  <c r="AF120" i="2"/>
  <c r="AM66" i="2"/>
  <c r="AM68" i="2"/>
  <c r="AM70" i="2"/>
  <c r="AM67" i="2"/>
  <c r="C69" i="3" s="1"/>
  <c r="AM69" i="2"/>
  <c r="AM71" i="2"/>
  <c r="K69" i="3"/>
  <c r="K70" i="3" s="1"/>
  <c r="K14" i="4" s="1"/>
  <c r="D69" i="3"/>
  <c r="D70" i="3" s="1"/>
  <c r="D14" i="4" s="1"/>
  <c r="X69" i="3"/>
  <c r="X70" i="3" s="1"/>
  <c r="X14" i="4" s="1"/>
  <c r="I69" i="3"/>
  <c r="I70" i="3" s="1"/>
  <c r="I14" i="4" s="1"/>
  <c r="AA69" i="3"/>
  <c r="AA70" i="3" s="1"/>
  <c r="AA14" i="4" s="1"/>
  <c r="T69" i="3"/>
  <c r="T70" i="3" s="1"/>
  <c r="T14" i="4" s="1"/>
  <c r="AJ8" i="2"/>
  <c r="AJ6" i="2"/>
  <c r="AJ9" i="2"/>
  <c r="AK4" i="2"/>
  <c r="AJ10" i="2"/>
  <c r="AJ7" i="2"/>
  <c r="AJ11" i="2"/>
  <c r="AI97" i="2"/>
  <c r="D98" i="3" s="1"/>
  <c r="AI101" i="2"/>
  <c r="AI96" i="2"/>
  <c r="M98" i="3" s="1"/>
  <c r="AI100" i="2"/>
  <c r="AI99" i="2"/>
  <c r="AJ94" i="2"/>
  <c r="AK94" i="2" s="1"/>
  <c r="AL94" i="2" s="1"/>
  <c r="AI98" i="2"/>
  <c r="P68" i="3"/>
  <c r="F77" i="3"/>
  <c r="P77" i="3" s="1"/>
  <c r="E98" i="3"/>
  <c r="K98" i="3"/>
  <c r="V68" i="3"/>
  <c r="AL17" i="2" l="1"/>
  <c r="AL21" i="2"/>
  <c r="AL18" i="2"/>
  <c r="AL16" i="2"/>
  <c r="AL19" i="2"/>
  <c r="AM14" i="2"/>
  <c r="AL20" i="2"/>
  <c r="G98" i="3"/>
  <c r="U69" i="3"/>
  <c r="U70" i="3" s="1"/>
  <c r="U14" i="4" s="1"/>
  <c r="R69" i="3"/>
  <c r="R70" i="3" s="1"/>
  <c r="R14" i="4" s="1"/>
  <c r="G69" i="3"/>
  <c r="G70" i="3" s="1"/>
  <c r="G14" i="4" s="1"/>
  <c r="AB18" i="3"/>
  <c r="E18" i="3"/>
  <c r="Y18" i="3"/>
  <c r="X18" i="3"/>
  <c r="T18" i="3"/>
  <c r="O18" i="3"/>
  <c r="M18" i="3"/>
  <c r="J98" i="3"/>
  <c r="AB98" i="3"/>
  <c r="O98" i="3"/>
  <c r="F69" i="3"/>
  <c r="F70" i="3" s="1"/>
  <c r="F14" i="4" s="1"/>
  <c r="M69" i="3"/>
  <c r="M70" i="3" s="1"/>
  <c r="M14" i="4" s="1"/>
  <c r="Z69" i="3"/>
  <c r="Z70" i="3" s="1"/>
  <c r="Z14" i="4" s="1"/>
  <c r="H69" i="3"/>
  <c r="H70" i="3" s="1"/>
  <c r="H14" i="4" s="1"/>
  <c r="O69" i="3"/>
  <c r="O70" i="3" s="1"/>
  <c r="O14" i="4" s="1"/>
  <c r="K18" i="3"/>
  <c r="AC106" i="3"/>
  <c r="D18" i="3"/>
  <c r="AH108" i="2"/>
  <c r="AH110" i="2"/>
  <c r="AH106" i="2"/>
  <c r="AH107" i="2"/>
  <c r="AH109" i="2"/>
  <c r="AH111" i="2"/>
  <c r="AI104" i="2"/>
  <c r="R18" i="3"/>
  <c r="V18" i="3" s="1"/>
  <c r="Z18" i="3"/>
  <c r="AI57" i="2"/>
  <c r="X58" i="3" s="1"/>
  <c r="AI56" i="2"/>
  <c r="T58" i="3" s="1"/>
  <c r="AI59" i="2"/>
  <c r="AI58" i="2"/>
  <c r="AJ54" i="2"/>
  <c r="AK54" i="2" s="1"/>
  <c r="AL54" i="2" s="1"/>
  <c r="AI61" i="2"/>
  <c r="AI60" i="2"/>
  <c r="I98" i="3"/>
  <c r="N69" i="3"/>
  <c r="N70" i="3" s="1"/>
  <c r="N14" i="4" s="1"/>
  <c r="E69" i="3"/>
  <c r="E70" i="3" s="1"/>
  <c r="E14" i="4" s="1"/>
  <c r="Y69" i="3"/>
  <c r="Y70" i="3" s="1"/>
  <c r="Y14" i="4" s="1"/>
  <c r="N18" i="3"/>
  <c r="C18" i="3"/>
  <c r="C98" i="3"/>
  <c r="U98" i="3"/>
  <c r="J69" i="3"/>
  <c r="J70" i="3" s="1"/>
  <c r="J14" i="4" s="1"/>
  <c r="Q69" i="3"/>
  <c r="Q70" i="3" s="1"/>
  <c r="Q14" i="4" s="1"/>
  <c r="AB69" i="3"/>
  <c r="AB70" i="3" s="1"/>
  <c r="AB14" i="4" s="1"/>
  <c r="L69" i="3"/>
  <c r="L70" i="3" s="1"/>
  <c r="L14" i="4" s="1"/>
  <c r="S69" i="3"/>
  <c r="S70" i="3" s="1"/>
  <c r="S14" i="4" s="1"/>
  <c r="W116" i="3"/>
  <c r="AC116" i="3" s="1"/>
  <c r="I18" i="3"/>
  <c r="G18" i="3"/>
  <c r="U18" i="3"/>
  <c r="H18" i="3"/>
  <c r="AA18" i="3"/>
  <c r="S18" i="3"/>
  <c r="C70" i="3"/>
  <c r="C14" i="4" s="1"/>
  <c r="W77" i="3"/>
  <c r="AC77" i="3" s="1"/>
  <c r="W68" i="3"/>
  <c r="AK9" i="2"/>
  <c r="AL4" i="2"/>
  <c r="AK8" i="2"/>
  <c r="AK6" i="2"/>
  <c r="AK7" i="2"/>
  <c r="AB8" i="3" s="1"/>
  <c r="AK11" i="2"/>
  <c r="L8" i="3" s="1"/>
  <c r="AK10" i="2"/>
  <c r="V69" i="3"/>
  <c r="V70" i="3" s="1"/>
  <c r="V14" i="4" s="1"/>
  <c r="AG116" i="2"/>
  <c r="AG120" i="2"/>
  <c r="AG117" i="2"/>
  <c r="AG121" i="2"/>
  <c r="AG118" i="2"/>
  <c r="AH114" i="2"/>
  <c r="AG119" i="2"/>
  <c r="AF77" i="2"/>
  <c r="AF81" i="2"/>
  <c r="AF78" i="2"/>
  <c r="AF76" i="2"/>
  <c r="AF79" i="2"/>
  <c r="AG74" i="2"/>
  <c r="AF80" i="2"/>
  <c r="F98" i="3"/>
  <c r="Q8" i="3"/>
  <c r="R8" i="3"/>
  <c r="U8" i="3"/>
  <c r="Q98" i="3"/>
  <c r="T98" i="3"/>
  <c r="Z98" i="3"/>
  <c r="N98" i="3"/>
  <c r="X98" i="3"/>
  <c r="AM94" i="2"/>
  <c r="AL98" i="2"/>
  <c r="AL100" i="2"/>
  <c r="AL96" i="2"/>
  <c r="AL97" i="2"/>
  <c r="AL99" i="2"/>
  <c r="AL101" i="2"/>
  <c r="AA8" i="3"/>
  <c r="S8" i="3"/>
  <c r="R98" i="3"/>
  <c r="H98" i="3"/>
  <c r="S98" i="3"/>
  <c r="L98" i="3"/>
  <c r="Y98" i="3"/>
  <c r="AA98" i="3"/>
  <c r="M58" i="3" l="1"/>
  <c r="Y58" i="3"/>
  <c r="E8" i="3"/>
  <c r="H8" i="3"/>
  <c r="D8" i="3"/>
  <c r="AI106" i="2"/>
  <c r="AI108" i="2"/>
  <c r="O108" i="3" s="1"/>
  <c r="O109" i="3" s="1"/>
  <c r="O22" i="4" s="1"/>
  <c r="AI110" i="2"/>
  <c r="AI107" i="2"/>
  <c r="AI109" i="2"/>
  <c r="AI111" i="2"/>
  <c r="AJ104" i="2"/>
  <c r="AK104" i="2" s="1"/>
  <c r="G108" i="3"/>
  <c r="G109" i="3" s="1"/>
  <c r="G22" i="4" s="1"/>
  <c r="R58" i="3"/>
  <c r="P98" i="3"/>
  <c r="C8" i="3"/>
  <c r="N8" i="3"/>
  <c r="T8" i="3"/>
  <c r="G8" i="3"/>
  <c r="K8" i="3"/>
  <c r="C108" i="3"/>
  <c r="S58" i="3"/>
  <c r="G58" i="3"/>
  <c r="I58" i="3"/>
  <c r="N58" i="3"/>
  <c r="H58" i="3"/>
  <c r="J58" i="3"/>
  <c r="N108" i="3"/>
  <c r="N109" i="3" s="1"/>
  <c r="N22" i="4" s="1"/>
  <c r="P18" i="3"/>
  <c r="AL56" i="2"/>
  <c r="AL57" i="2"/>
  <c r="AL58" i="2"/>
  <c r="AL59" i="2"/>
  <c r="AL60" i="2"/>
  <c r="AL61" i="2"/>
  <c r="AB58" i="3"/>
  <c r="Q58" i="3"/>
  <c r="AA58" i="3"/>
  <c r="O58" i="3"/>
  <c r="AM17" i="2"/>
  <c r="AM16" i="2"/>
  <c r="AM19" i="2"/>
  <c r="F19" i="3" s="1"/>
  <c r="F20" i="3" s="1"/>
  <c r="F5" i="4" s="1"/>
  <c r="AM20" i="2"/>
  <c r="AM18" i="2"/>
  <c r="AM21" i="2"/>
  <c r="X8" i="3"/>
  <c r="I8" i="3"/>
  <c r="O8" i="3"/>
  <c r="K58" i="3"/>
  <c r="Z58" i="3"/>
  <c r="F58" i="3"/>
  <c r="E58" i="3"/>
  <c r="AA108" i="3"/>
  <c r="AA109" i="3" s="1"/>
  <c r="AA22" i="4" s="1"/>
  <c r="Y8" i="3"/>
  <c r="F8" i="3"/>
  <c r="J8" i="3"/>
  <c r="Z8" i="3"/>
  <c r="P69" i="3"/>
  <c r="P70" i="3" s="1"/>
  <c r="P14" i="4" s="1"/>
  <c r="I108" i="3"/>
  <c r="I109" i="3" s="1"/>
  <c r="I22" i="4" s="1"/>
  <c r="U58" i="3"/>
  <c r="L58" i="3"/>
  <c r="D58" i="3"/>
  <c r="C58" i="3"/>
  <c r="Y19" i="3"/>
  <c r="Y20" i="3" s="1"/>
  <c r="Y5" i="4" s="1"/>
  <c r="L19" i="3"/>
  <c r="L20" i="3" s="1"/>
  <c r="L5" i="4" s="1"/>
  <c r="AA19" i="3"/>
  <c r="AA20" i="3" s="1"/>
  <c r="AA5" i="4" s="1"/>
  <c r="O19" i="3"/>
  <c r="O20" i="3" s="1"/>
  <c r="O5" i="4" s="1"/>
  <c r="T19" i="3"/>
  <c r="T20" i="3" s="1"/>
  <c r="T5" i="4" s="1"/>
  <c r="K19" i="3"/>
  <c r="K20" i="3" s="1"/>
  <c r="K5" i="4" s="1"/>
  <c r="X108" i="3"/>
  <c r="X109" i="3" s="1"/>
  <c r="X22" i="4" s="1"/>
  <c r="Y108" i="3"/>
  <c r="Y109" i="3" s="1"/>
  <c r="Y22" i="4" s="1"/>
  <c r="AM97" i="2"/>
  <c r="AM99" i="2"/>
  <c r="AM101" i="2"/>
  <c r="AM96" i="2"/>
  <c r="Y99" i="3" s="1"/>
  <c r="Y100" i="3" s="1"/>
  <c r="Y21" i="4" s="1"/>
  <c r="AM98" i="2"/>
  <c r="AM100" i="2"/>
  <c r="V98" i="3"/>
  <c r="W98" i="3" s="1"/>
  <c r="V8" i="3"/>
  <c r="AH116" i="2"/>
  <c r="AH119" i="2"/>
  <c r="AI114" i="2"/>
  <c r="AH120" i="2"/>
  <c r="AH117" i="2"/>
  <c r="AH121" i="2"/>
  <c r="AH118" i="2"/>
  <c r="AC68" i="3"/>
  <c r="W69" i="3"/>
  <c r="AC69" i="3" s="1"/>
  <c r="G99" i="3"/>
  <c r="G100" i="3" s="1"/>
  <c r="G21" i="4" s="1"/>
  <c r="Q99" i="3"/>
  <c r="F99" i="3"/>
  <c r="F100" i="3" s="1"/>
  <c r="F21" i="4" s="1"/>
  <c r="R99" i="3"/>
  <c r="R100" i="3" s="1"/>
  <c r="R21" i="4" s="1"/>
  <c r="E99" i="3"/>
  <c r="E100" i="3" s="1"/>
  <c r="E21" i="4" s="1"/>
  <c r="AG78" i="2"/>
  <c r="AG80" i="2"/>
  <c r="AG79" i="2"/>
  <c r="AG76" i="2"/>
  <c r="AH74" i="2"/>
  <c r="AG77" i="2"/>
  <c r="AG81" i="2"/>
  <c r="AL7" i="2"/>
  <c r="AL11" i="2"/>
  <c r="AL8" i="2"/>
  <c r="AM4" i="2"/>
  <c r="AN4" i="2" s="1"/>
  <c r="AO4" i="2" s="1"/>
  <c r="AL9" i="2"/>
  <c r="AL6" i="2"/>
  <c r="AL10" i="2"/>
  <c r="M8" i="3"/>
  <c r="P8" i="3" s="1"/>
  <c r="T99" i="3" l="1"/>
  <c r="T100" i="3" s="1"/>
  <c r="T21" i="4" s="1"/>
  <c r="H99" i="3"/>
  <c r="H100" i="3" s="1"/>
  <c r="H21" i="4" s="1"/>
  <c r="S99" i="3"/>
  <c r="S100" i="3" s="1"/>
  <c r="S21" i="4" s="1"/>
  <c r="I99" i="3"/>
  <c r="I100" i="3" s="1"/>
  <c r="I21" i="4" s="1"/>
  <c r="X99" i="3"/>
  <c r="X100" i="3" s="1"/>
  <c r="X21" i="4" s="1"/>
  <c r="AC70" i="3"/>
  <c r="AC14" i="4" s="1"/>
  <c r="Q19" i="3"/>
  <c r="AB19" i="3"/>
  <c r="AB20" i="3" s="1"/>
  <c r="AB5" i="4" s="1"/>
  <c r="N19" i="3"/>
  <c r="N20" i="3" s="1"/>
  <c r="N5" i="4" s="1"/>
  <c r="I19" i="3"/>
  <c r="I20" i="3" s="1"/>
  <c r="I5" i="4" s="1"/>
  <c r="S19" i="3"/>
  <c r="S20" i="3" s="1"/>
  <c r="S5" i="4" s="1"/>
  <c r="G19" i="3"/>
  <c r="G20" i="3" s="1"/>
  <c r="G5" i="4" s="1"/>
  <c r="P58" i="3"/>
  <c r="J108" i="3"/>
  <c r="J109" i="3" s="1"/>
  <c r="J22" i="4" s="1"/>
  <c r="R108" i="3"/>
  <c r="R109" i="3" s="1"/>
  <c r="R22" i="4" s="1"/>
  <c r="C59" i="3"/>
  <c r="K59" i="3"/>
  <c r="K60" i="3" s="1"/>
  <c r="K13" i="4" s="1"/>
  <c r="S59" i="3"/>
  <c r="S60" i="3" s="1"/>
  <c r="S13" i="4" s="1"/>
  <c r="D59" i="3"/>
  <c r="D60" i="3" s="1"/>
  <c r="D13" i="4" s="1"/>
  <c r="L59" i="3"/>
  <c r="L60" i="3" s="1"/>
  <c r="L13" i="4" s="1"/>
  <c r="X59" i="3"/>
  <c r="X60" i="3" s="1"/>
  <c r="X13" i="4" s="1"/>
  <c r="E59" i="3"/>
  <c r="E60" i="3" s="1"/>
  <c r="E13" i="4" s="1"/>
  <c r="M59" i="3"/>
  <c r="M60" i="3" s="1"/>
  <c r="M13" i="4" s="1"/>
  <c r="F59" i="3"/>
  <c r="F60" i="3" s="1"/>
  <c r="F13" i="4" s="1"/>
  <c r="Z59" i="3"/>
  <c r="Z60" i="3" s="1"/>
  <c r="Z13" i="4" s="1"/>
  <c r="G59" i="3"/>
  <c r="G60" i="3" s="1"/>
  <c r="G13" i="4" s="1"/>
  <c r="O59" i="3"/>
  <c r="O60" i="3" s="1"/>
  <c r="O13" i="4" s="1"/>
  <c r="Y59" i="3"/>
  <c r="Y60" i="3" s="1"/>
  <c r="Y13" i="4" s="1"/>
  <c r="H59" i="3"/>
  <c r="H60" i="3" s="1"/>
  <c r="H13" i="4" s="1"/>
  <c r="R59" i="3"/>
  <c r="R60" i="3" s="1"/>
  <c r="R13" i="4" s="1"/>
  <c r="AB59" i="3"/>
  <c r="AB60" i="3" s="1"/>
  <c r="AB13" i="4" s="1"/>
  <c r="I59" i="3"/>
  <c r="I60" i="3" s="1"/>
  <c r="I13" i="4" s="1"/>
  <c r="Q59" i="3"/>
  <c r="AA59" i="3"/>
  <c r="AA60" i="3" s="1"/>
  <c r="AA13" i="4" s="1"/>
  <c r="J59" i="3"/>
  <c r="J60" i="3" s="1"/>
  <c r="J13" i="4" s="1"/>
  <c r="T59" i="3"/>
  <c r="T60" i="3" s="1"/>
  <c r="T13" i="4" s="1"/>
  <c r="U59" i="3"/>
  <c r="U60" i="3" s="1"/>
  <c r="U13" i="4" s="1"/>
  <c r="N59" i="3"/>
  <c r="N60" i="3" s="1"/>
  <c r="N13" i="4" s="1"/>
  <c r="C109" i="3"/>
  <c r="C22" i="4" s="1"/>
  <c r="M99" i="3"/>
  <c r="M100" i="3" s="1"/>
  <c r="M21" i="4" s="1"/>
  <c r="C99" i="3"/>
  <c r="N99" i="3"/>
  <c r="N100" i="3" s="1"/>
  <c r="N21" i="4" s="1"/>
  <c r="AA99" i="3"/>
  <c r="AA100" i="3" s="1"/>
  <c r="AA21" i="4" s="1"/>
  <c r="O99" i="3"/>
  <c r="O100" i="3" s="1"/>
  <c r="O21" i="4" s="1"/>
  <c r="S108" i="3"/>
  <c r="S109" i="3" s="1"/>
  <c r="S22" i="4" s="1"/>
  <c r="D19" i="3"/>
  <c r="D20" i="3" s="1"/>
  <c r="D5" i="4" s="1"/>
  <c r="E19" i="3"/>
  <c r="E20" i="3" s="1"/>
  <c r="E5" i="4" s="1"/>
  <c r="H19" i="3"/>
  <c r="H20" i="3" s="1"/>
  <c r="H5" i="4" s="1"/>
  <c r="Z19" i="3"/>
  <c r="Z20" i="3" s="1"/>
  <c r="Z5" i="4" s="1"/>
  <c r="M19" i="3"/>
  <c r="M20" i="3" s="1"/>
  <c r="M5" i="4" s="1"/>
  <c r="R19" i="3"/>
  <c r="R20" i="3" s="1"/>
  <c r="R5" i="4" s="1"/>
  <c r="L108" i="3"/>
  <c r="L109" i="3" s="1"/>
  <c r="L22" i="4" s="1"/>
  <c r="K108" i="3"/>
  <c r="K109" i="3" s="1"/>
  <c r="K22" i="4" s="1"/>
  <c r="V58" i="3"/>
  <c r="Q60" i="3"/>
  <c r="Q13" i="4" s="1"/>
  <c r="Z108" i="3"/>
  <c r="Z109" i="3" s="1"/>
  <c r="Z22" i="4" s="1"/>
  <c r="U108" i="3"/>
  <c r="U109" i="3" s="1"/>
  <c r="U22" i="4" s="1"/>
  <c r="H108" i="3"/>
  <c r="H109" i="3" s="1"/>
  <c r="H22" i="4" s="1"/>
  <c r="T108" i="3"/>
  <c r="T109" i="3" s="1"/>
  <c r="T22" i="4" s="1"/>
  <c r="AB108" i="3"/>
  <c r="AB109" i="3" s="1"/>
  <c r="AB22" i="4" s="1"/>
  <c r="M108" i="3"/>
  <c r="M109" i="3" s="1"/>
  <c r="M22" i="4" s="1"/>
  <c r="D108" i="3"/>
  <c r="D109" i="3" s="1"/>
  <c r="D22" i="4" s="1"/>
  <c r="E108" i="3"/>
  <c r="E109" i="3" s="1"/>
  <c r="E22" i="4" s="1"/>
  <c r="J99" i="3"/>
  <c r="J100" i="3" s="1"/>
  <c r="J21" i="4" s="1"/>
  <c r="U99" i="3"/>
  <c r="U100" i="3" s="1"/>
  <c r="U21" i="4" s="1"/>
  <c r="K99" i="3"/>
  <c r="K100" i="3" s="1"/>
  <c r="K21" i="4" s="1"/>
  <c r="Z99" i="3"/>
  <c r="Z100" i="3" s="1"/>
  <c r="Z21" i="4" s="1"/>
  <c r="L99" i="3"/>
  <c r="L100" i="3" s="1"/>
  <c r="L21" i="4" s="1"/>
  <c r="X19" i="3"/>
  <c r="X20" i="3" s="1"/>
  <c r="X5" i="4" s="1"/>
  <c r="U19" i="3"/>
  <c r="U20" i="3" s="1"/>
  <c r="U5" i="4" s="1"/>
  <c r="J19" i="3"/>
  <c r="J20" i="3" s="1"/>
  <c r="J5" i="4" s="1"/>
  <c r="C19" i="3"/>
  <c r="Q108" i="3"/>
  <c r="W18" i="3"/>
  <c r="F108" i="3"/>
  <c r="F109" i="3" s="1"/>
  <c r="F22" i="4" s="1"/>
  <c r="AC98" i="3"/>
  <c r="W8" i="3"/>
  <c r="AI118" i="2"/>
  <c r="AI117" i="2"/>
  <c r="AI121" i="2"/>
  <c r="AI116" i="2"/>
  <c r="AI120" i="2"/>
  <c r="AI119" i="2"/>
  <c r="AJ114" i="2"/>
  <c r="AK114" i="2" s="1"/>
  <c r="AL114" i="2" s="1"/>
  <c r="AM114" i="2" s="1"/>
  <c r="W70" i="3"/>
  <c r="W14" i="4" s="1"/>
  <c r="AB99" i="3"/>
  <c r="AB100" i="3" s="1"/>
  <c r="AB21" i="4" s="1"/>
  <c r="C9" i="3"/>
  <c r="K9" i="3"/>
  <c r="K10" i="3" s="1"/>
  <c r="K4" i="4" s="1"/>
  <c r="K8" i="4" s="1"/>
  <c r="S9" i="3"/>
  <c r="S10" i="3" s="1"/>
  <c r="S4" i="4" s="1"/>
  <c r="S8" i="4" s="1"/>
  <c r="D9" i="3"/>
  <c r="D10" i="3" s="1"/>
  <c r="D4" i="4" s="1"/>
  <c r="D8" i="4" s="1"/>
  <c r="H9" i="3"/>
  <c r="H10" i="3" s="1"/>
  <c r="H4" i="4" s="1"/>
  <c r="H8" i="4" s="1"/>
  <c r="L9" i="3"/>
  <c r="L10" i="3" s="1"/>
  <c r="L4" i="4" s="1"/>
  <c r="L8" i="4" s="1"/>
  <c r="R9" i="3"/>
  <c r="R10" i="3" s="1"/>
  <c r="R4" i="4" s="1"/>
  <c r="R8" i="4" s="1"/>
  <c r="X9" i="3"/>
  <c r="X10" i="3" s="1"/>
  <c r="X4" i="4" s="1"/>
  <c r="E9" i="3"/>
  <c r="E10" i="3" s="1"/>
  <c r="E4" i="4" s="1"/>
  <c r="M9" i="3"/>
  <c r="M10" i="3" s="1"/>
  <c r="M4" i="4" s="1"/>
  <c r="M8" i="4" s="1"/>
  <c r="U9" i="3"/>
  <c r="U10" i="3" s="1"/>
  <c r="U4" i="4" s="1"/>
  <c r="U8" i="4" s="1"/>
  <c r="AB9" i="3"/>
  <c r="AB10" i="3" s="1"/>
  <c r="AB4" i="4" s="1"/>
  <c r="AB8" i="4" s="1"/>
  <c r="G9" i="3"/>
  <c r="G10" i="3" s="1"/>
  <c r="G4" i="4" s="1"/>
  <c r="G8" i="4" s="1"/>
  <c r="O9" i="3"/>
  <c r="O10" i="3" s="1"/>
  <c r="O4" i="4" s="1"/>
  <c r="O8" i="4" s="1"/>
  <c r="Y9" i="3"/>
  <c r="Y10" i="3" s="1"/>
  <c r="Y4" i="4" s="1"/>
  <c r="Y8" i="4" s="1"/>
  <c r="F9" i="3"/>
  <c r="F10" i="3" s="1"/>
  <c r="F4" i="4" s="1"/>
  <c r="F8" i="4" s="1"/>
  <c r="J9" i="3"/>
  <c r="J10" i="3" s="1"/>
  <c r="J4" i="4" s="1"/>
  <c r="N9" i="3"/>
  <c r="N10" i="3" s="1"/>
  <c r="N4" i="4" s="1"/>
  <c r="T9" i="3"/>
  <c r="T10" i="3" s="1"/>
  <c r="T4" i="4" s="1"/>
  <c r="T8" i="4" s="1"/>
  <c r="Z9" i="3"/>
  <c r="Z10" i="3" s="1"/>
  <c r="Z4" i="4" s="1"/>
  <c r="Z8" i="4" s="1"/>
  <c r="I9" i="3"/>
  <c r="I10" i="3" s="1"/>
  <c r="I4" i="4" s="1"/>
  <c r="I8" i="4" s="1"/>
  <c r="Q9" i="3"/>
  <c r="AA9" i="3"/>
  <c r="AA10" i="3" s="1"/>
  <c r="AA4" i="4" s="1"/>
  <c r="AA8" i="4" s="1"/>
  <c r="AH77" i="2"/>
  <c r="AH79" i="2"/>
  <c r="AI74" i="2"/>
  <c r="AH76" i="2"/>
  <c r="AH78" i="2"/>
  <c r="AH81" i="2"/>
  <c r="AH80" i="2"/>
  <c r="C100" i="3"/>
  <c r="C21" i="4" s="1"/>
  <c r="Q100" i="3"/>
  <c r="Q21" i="4" s="1"/>
  <c r="D99" i="3"/>
  <c r="D100" i="3" s="1"/>
  <c r="D21" i="4" s="1"/>
  <c r="N8" i="4" l="1"/>
  <c r="V99" i="3"/>
  <c r="V100" i="3" s="1"/>
  <c r="V21" i="4" s="1"/>
  <c r="AC18" i="3"/>
  <c r="P108" i="3"/>
  <c r="J8" i="4"/>
  <c r="V108" i="3"/>
  <c r="V109" i="3" s="1"/>
  <c r="V22" i="4" s="1"/>
  <c r="Q109" i="3"/>
  <c r="Q22" i="4" s="1"/>
  <c r="V19" i="3"/>
  <c r="V20" i="3" s="1"/>
  <c r="V5" i="4" s="1"/>
  <c r="Q20" i="3"/>
  <c r="Q5" i="4" s="1"/>
  <c r="P59" i="3"/>
  <c r="W59" i="3" s="1"/>
  <c r="AC59" i="3" s="1"/>
  <c r="W58" i="3"/>
  <c r="P60" i="3"/>
  <c r="P13" i="4" s="1"/>
  <c r="E8" i="4"/>
  <c r="X8" i="4"/>
  <c r="P19" i="3"/>
  <c r="C20" i="3"/>
  <c r="C5" i="4" s="1"/>
  <c r="V59" i="3"/>
  <c r="V60" i="3" s="1"/>
  <c r="V13" i="4" s="1"/>
  <c r="C60" i="3"/>
  <c r="C13" i="4" s="1"/>
  <c r="P9" i="3"/>
  <c r="C10" i="3"/>
  <c r="C4" i="4" s="1"/>
  <c r="C8" i="4" s="1"/>
  <c r="C117" i="3"/>
  <c r="J117" i="3"/>
  <c r="J119" i="3" s="1"/>
  <c r="J23" i="4" s="1"/>
  <c r="J24" i="4" s="1"/>
  <c r="U117" i="3"/>
  <c r="U119" i="3" s="1"/>
  <c r="U23" i="4" s="1"/>
  <c r="U24" i="4" s="1"/>
  <c r="G117" i="3"/>
  <c r="G119" i="3" s="1"/>
  <c r="G23" i="4" s="1"/>
  <c r="G24" i="4" s="1"/>
  <c r="N117" i="3"/>
  <c r="N119" i="3" s="1"/>
  <c r="N23" i="4" s="1"/>
  <c r="N24" i="4" s="1"/>
  <c r="AA117" i="3"/>
  <c r="AA119" i="3" s="1"/>
  <c r="AA23" i="4" s="1"/>
  <c r="AA24" i="4" s="1"/>
  <c r="K117" i="3"/>
  <c r="K119" i="3" s="1"/>
  <c r="K23" i="4" s="1"/>
  <c r="K24" i="4" s="1"/>
  <c r="T117" i="3"/>
  <c r="T119" i="3" s="1"/>
  <c r="T23" i="4" s="1"/>
  <c r="T24" i="4" s="1"/>
  <c r="D117" i="3"/>
  <c r="D119" i="3" s="1"/>
  <c r="D23" i="4" s="1"/>
  <c r="D24" i="4" s="1"/>
  <c r="O117" i="3"/>
  <c r="O119" i="3" s="1"/>
  <c r="O23" i="4" s="1"/>
  <c r="O24" i="4" s="1"/>
  <c r="Z117" i="3"/>
  <c r="Z119" i="3" s="1"/>
  <c r="Z23" i="4" s="1"/>
  <c r="Z24" i="4" s="1"/>
  <c r="Q117" i="3"/>
  <c r="H117" i="3"/>
  <c r="H119" i="3" s="1"/>
  <c r="H23" i="4" s="1"/>
  <c r="H24" i="4" s="1"/>
  <c r="S117" i="3"/>
  <c r="S119" i="3" s="1"/>
  <c r="S23" i="4" s="1"/>
  <c r="S24" i="4" s="1"/>
  <c r="E117" i="3"/>
  <c r="E119" i="3" s="1"/>
  <c r="E23" i="4" s="1"/>
  <c r="E24" i="4" s="1"/>
  <c r="L117" i="3"/>
  <c r="L119" i="3" s="1"/>
  <c r="L23" i="4" s="1"/>
  <c r="L24" i="4" s="1"/>
  <c r="Y117" i="3"/>
  <c r="Y119" i="3" s="1"/>
  <c r="Y23" i="4" s="1"/>
  <c r="Y24" i="4" s="1"/>
  <c r="I117" i="3"/>
  <c r="I119" i="3" s="1"/>
  <c r="I23" i="4" s="1"/>
  <c r="I24" i="4" s="1"/>
  <c r="R117" i="3"/>
  <c r="R119" i="3" s="1"/>
  <c r="R23" i="4" s="1"/>
  <c r="R24" i="4" s="1"/>
  <c r="AB117" i="3"/>
  <c r="AB119" i="3" s="1"/>
  <c r="AB23" i="4" s="1"/>
  <c r="AB24" i="4" s="1"/>
  <c r="M117" i="3"/>
  <c r="M119" i="3" s="1"/>
  <c r="M23" i="4" s="1"/>
  <c r="M24" i="4" s="1"/>
  <c r="X117" i="3"/>
  <c r="X119" i="3" s="1"/>
  <c r="X23" i="4" s="1"/>
  <c r="X24" i="4" s="1"/>
  <c r="F117" i="3"/>
  <c r="F119" i="3" s="1"/>
  <c r="F23" i="4" s="1"/>
  <c r="F24" i="4" s="1"/>
  <c r="AC8" i="3"/>
  <c r="P99" i="3"/>
  <c r="AI76" i="2"/>
  <c r="AI77" i="2"/>
  <c r="AI79" i="2"/>
  <c r="Z78" i="3" s="1"/>
  <c r="AJ74" i="2"/>
  <c r="AK74" i="2" s="1"/>
  <c r="AL74" i="2" s="1"/>
  <c r="AI78" i="2"/>
  <c r="AI81" i="2"/>
  <c r="AI80" i="2"/>
  <c r="V9" i="3"/>
  <c r="V10" i="3" s="1"/>
  <c r="V4" i="4" s="1"/>
  <c r="Q10" i="3"/>
  <c r="Q4" i="4" s="1"/>
  <c r="Q8" i="4" s="1"/>
  <c r="D78" i="3"/>
  <c r="C78" i="3"/>
  <c r="R78" i="3" l="1"/>
  <c r="L78" i="3"/>
  <c r="W19" i="3"/>
  <c r="P20" i="3"/>
  <c r="P5" i="4" s="1"/>
  <c r="AC58" i="3"/>
  <c r="W60" i="3"/>
  <c r="W13" i="4" s="1"/>
  <c r="I78" i="3"/>
  <c r="Q78" i="3"/>
  <c r="AC60" i="3"/>
  <c r="AC13" i="4" s="1"/>
  <c r="W108" i="3"/>
  <c r="P109" i="3"/>
  <c r="P22" i="4" s="1"/>
  <c r="AB78" i="3"/>
  <c r="AA78" i="3"/>
  <c r="H78" i="3"/>
  <c r="N78" i="3"/>
  <c r="K78" i="3"/>
  <c r="V8" i="4"/>
  <c r="V117" i="3"/>
  <c r="V119" i="3" s="1"/>
  <c r="V23" i="4" s="1"/>
  <c r="V24" i="4" s="1"/>
  <c r="Q119" i="3"/>
  <c r="Q23" i="4" s="1"/>
  <c r="Q24" i="4" s="1"/>
  <c r="S78" i="3"/>
  <c r="X78" i="3"/>
  <c r="T78" i="3"/>
  <c r="F78" i="3"/>
  <c r="O78" i="3"/>
  <c r="M78" i="3"/>
  <c r="U78" i="3"/>
  <c r="AL78" i="2"/>
  <c r="AL77" i="2"/>
  <c r="AL81" i="2"/>
  <c r="AL76" i="2"/>
  <c r="AL80" i="2"/>
  <c r="AL79" i="2"/>
  <c r="W99" i="3"/>
  <c r="P100" i="3"/>
  <c r="P21" i="4" s="1"/>
  <c r="P117" i="3"/>
  <c r="C119" i="3"/>
  <c r="C23" i="4" s="1"/>
  <c r="C24" i="4" s="1"/>
  <c r="W9" i="3"/>
  <c r="P10" i="3"/>
  <c r="P4" i="4" s="1"/>
  <c r="P8" i="4" s="1"/>
  <c r="J78" i="3"/>
  <c r="Y78" i="3"/>
  <c r="G78" i="3"/>
  <c r="E78" i="3"/>
  <c r="P78" i="3" s="1"/>
  <c r="V78" i="3" l="1"/>
  <c r="AC19" i="3"/>
  <c r="AC20" i="3" s="1"/>
  <c r="AC5" i="4" s="1"/>
  <c r="W20" i="3"/>
  <c r="W5" i="4" s="1"/>
  <c r="AC108" i="3"/>
  <c r="AC109" i="3" s="1"/>
  <c r="AC22" i="4" s="1"/>
  <c r="W109" i="3"/>
  <c r="W22" i="4" s="1"/>
  <c r="W78" i="3"/>
  <c r="AC9" i="3"/>
  <c r="AC10" i="3" s="1"/>
  <c r="AC4" i="4" s="1"/>
  <c r="W10" i="3"/>
  <c r="W4" i="4" s="1"/>
  <c r="W8" i="4" s="1"/>
  <c r="W117" i="3"/>
  <c r="P119" i="3"/>
  <c r="P23" i="4" s="1"/>
  <c r="P24" i="4" s="1"/>
  <c r="AC99" i="3"/>
  <c r="AC100" i="3" s="1"/>
  <c r="AC21" i="4" s="1"/>
  <c r="W100" i="3"/>
  <c r="W21" i="4" s="1"/>
  <c r="D79" i="3"/>
  <c r="D80" i="3" s="1"/>
  <c r="D15" i="4" s="1"/>
  <c r="D17" i="4" s="1"/>
  <c r="D29" i="4" s="1"/>
  <c r="D30" i="4" s="1"/>
  <c r="G79" i="3"/>
  <c r="G80" i="3" s="1"/>
  <c r="G15" i="4" s="1"/>
  <c r="G17" i="4" s="1"/>
  <c r="G29" i="4" s="1"/>
  <c r="G30" i="4" s="1"/>
  <c r="K79" i="3"/>
  <c r="K80" i="3" s="1"/>
  <c r="K15" i="4" s="1"/>
  <c r="K17" i="4" s="1"/>
  <c r="K29" i="4" s="1"/>
  <c r="K30" i="4" s="1"/>
  <c r="O79" i="3"/>
  <c r="O80" i="3" s="1"/>
  <c r="O15" i="4" s="1"/>
  <c r="O17" i="4" s="1"/>
  <c r="O29" i="4" s="1"/>
  <c r="O30" i="4" s="1"/>
  <c r="S79" i="3"/>
  <c r="S80" i="3" s="1"/>
  <c r="S15" i="4" s="1"/>
  <c r="S17" i="4" s="1"/>
  <c r="S29" i="4" s="1"/>
  <c r="S30" i="4" s="1"/>
  <c r="Y79" i="3"/>
  <c r="Y80" i="3" s="1"/>
  <c r="Y15" i="4" s="1"/>
  <c r="Y17" i="4" s="1"/>
  <c r="Y29" i="4" s="1"/>
  <c r="Y30" i="4" s="1"/>
  <c r="C79" i="3"/>
  <c r="H79" i="3"/>
  <c r="H80" i="3" s="1"/>
  <c r="H15" i="4" s="1"/>
  <c r="H17" i="4" s="1"/>
  <c r="H29" i="4" s="1"/>
  <c r="H30" i="4" s="1"/>
  <c r="L79" i="3"/>
  <c r="L80" i="3" s="1"/>
  <c r="L15" i="4" s="1"/>
  <c r="L17" i="4" s="1"/>
  <c r="L29" i="4" s="1"/>
  <c r="L30" i="4" s="1"/>
  <c r="R79" i="3"/>
  <c r="R80" i="3" s="1"/>
  <c r="R15" i="4" s="1"/>
  <c r="R17" i="4" s="1"/>
  <c r="R29" i="4" s="1"/>
  <c r="R30" i="4" s="1"/>
  <c r="X79" i="3"/>
  <c r="AB79" i="3"/>
  <c r="AB80" i="3" s="1"/>
  <c r="AB15" i="4" s="1"/>
  <c r="AB17" i="4" s="1"/>
  <c r="AB29" i="4" s="1"/>
  <c r="AB30" i="4" s="1"/>
  <c r="E79" i="3"/>
  <c r="E80" i="3" s="1"/>
  <c r="E15" i="4" s="1"/>
  <c r="E17" i="4" s="1"/>
  <c r="E29" i="4" s="1"/>
  <c r="E30" i="4" s="1"/>
  <c r="I79" i="3"/>
  <c r="I80" i="3" s="1"/>
  <c r="I15" i="4" s="1"/>
  <c r="I17" i="4" s="1"/>
  <c r="I29" i="4" s="1"/>
  <c r="I30" i="4" s="1"/>
  <c r="M79" i="3"/>
  <c r="Q79" i="3"/>
  <c r="U79" i="3"/>
  <c r="U80" i="3" s="1"/>
  <c r="U15" i="4" s="1"/>
  <c r="U17" i="4" s="1"/>
  <c r="U29" i="4" s="1"/>
  <c r="U30" i="4" s="1"/>
  <c r="AA79" i="3"/>
  <c r="AA80" i="3" s="1"/>
  <c r="AA15" i="4" s="1"/>
  <c r="AA17" i="4" s="1"/>
  <c r="AA29" i="4" s="1"/>
  <c r="AA30" i="4" s="1"/>
  <c r="F79" i="3"/>
  <c r="F80" i="3" s="1"/>
  <c r="F15" i="4" s="1"/>
  <c r="F17" i="4" s="1"/>
  <c r="F29" i="4" s="1"/>
  <c r="F30" i="4" s="1"/>
  <c r="J79" i="3"/>
  <c r="J80" i="3" s="1"/>
  <c r="J15" i="4" s="1"/>
  <c r="J17" i="4" s="1"/>
  <c r="J29" i="4" s="1"/>
  <c r="J30" i="4" s="1"/>
  <c r="N79" i="3"/>
  <c r="N80" i="3" s="1"/>
  <c r="N15" i="4" s="1"/>
  <c r="N17" i="4" s="1"/>
  <c r="N29" i="4" s="1"/>
  <c r="N30" i="4" s="1"/>
  <c r="T79" i="3"/>
  <c r="T80" i="3" s="1"/>
  <c r="T15" i="4" s="1"/>
  <c r="T17" i="4" s="1"/>
  <c r="T29" i="4" s="1"/>
  <c r="T30" i="4" s="1"/>
  <c r="Z79" i="3"/>
  <c r="Z80" i="3" s="1"/>
  <c r="Z15" i="4" s="1"/>
  <c r="Z17" i="4" s="1"/>
  <c r="Z29" i="4" s="1"/>
  <c r="Z30" i="4" s="1"/>
  <c r="M80" i="3"/>
  <c r="M15" i="4" s="1"/>
  <c r="M17" i="4" s="1"/>
  <c r="M29" i="4" s="1"/>
  <c r="M30" i="4" s="1"/>
  <c r="X80" i="3"/>
  <c r="X15" i="4" s="1"/>
  <c r="X17" i="4" s="1"/>
  <c r="X29" i="4" s="1"/>
  <c r="X30" i="4" s="1"/>
  <c r="AC8" i="4" l="1"/>
  <c r="V79" i="3"/>
  <c r="V80" i="3" s="1"/>
  <c r="V15" i="4" s="1"/>
  <c r="V17" i="4" s="1"/>
  <c r="V29" i="4" s="1"/>
  <c r="V30" i="4" s="1"/>
  <c r="Q80" i="3"/>
  <c r="Q15" i="4" s="1"/>
  <c r="Q17" i="4" s="1"/>
  <c r="Q29" i="4" s="1"/>
  <c r="Q30" i="4" s="1"/>
  <c r="P79" i="3"/>
  <c r="C80" i="3"/>
  <c r="C15" i="4" s="1"/>
  <c r="C17" i="4" s="1"/>
  <c r="C29" i="4" s="1"/>
  <c r="C30" i="4" s="1"/>
  <c r="AC117" i="3"/>
  <c r="AC119" i="3" s="1"/>
  <c r="AC23" i="4" s="1"/>
  <c r="AC24" i="4" s="1"/>
  <c r="W119" i="3"/>
  <c r="W23" i="4" s="1"/>
  <c r="W24" i="4" s="1"/>
  <c r="AC78" i="3"/>
  <c r="W79" i="3" l="1"/>
  <c r="P80" i="3"/>
  <c r="P15" i="4" s="1"/>
  <c r="P17" i="4" s="1"/>
  <c r="P29" i="4" s="1"/>
  <c r="P30" i="4" s="1"/>
  <c r="AC79" i="3" l="1"/>
  <c r="AC80" i="3" s="1"/>
  <c r="AC15" i="4" s="1"/>
  <c r="AC17" i="4" s="1"/>
  <c r="AC29" i="4" s="1"/>
  <c r="AC30" i="4" s="1"/>
  <c r="W80" i="3"/>
  <c r="W15" i="4" s="1"/>
  <c r="W17" i="4" s="1"/>
  <c r="W29" i="4" s="1"/>
  <c r="W30" i="4" s="1"/>
</calcChain>
</file>

<file path=xl/sharedStrings.xml><?xml version="1.0" encoding="utf-8"?>
<sst xmlns="http://schemas.openxmlformats.org/spreadsheetml/2006/main" count="1153" uniqueCount="111">
  <si>
    <t>平成</t>
    <rPh sb="0" eb="2">
      <t>ヘイセイ</t>
    </rPh>
    <phoneticPr fontId="1"/>
  </si>
  <si>
    <t>年度</t>
    <rPh sb="0" eb="2">
      <t>ネンド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</si>
  <si>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</si>
  <si>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</si>
  <si>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</si>
  <si>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</si>
  <si>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</si>
  <si>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</si>
  <si>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国語</t>
    <rPh sb="0" eb="2">
      <t>コクゴ</t>
    </rPh>
    <phoneticPr fontId="1"/>
  </si>
  <si>
    <t>−</t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</si>
  <si>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</si>
  <si>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</si>
  <si>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</si>
  <si>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生活</t>
    <rPh sb="0" eb="2">
      <t>セイカツ</t>
    </rPh>
    <phoneticPr fontId="1"/>
  </si>
  <si>
    <t>音楽</t>
    <rPh sb="0" eb="2">
      <t>オンガク</t>
    </rPh>
    <phoneticPr fontId="1"/>
  </si>
  <si>
    <t>図工</t>
    <rPh sb="0" eb="2">
      <t>ズコウ</t>
    </rPh>
    <phoneticPr fontId="1"/>
  </si>
  <si>
    <t>体育</t>
    <rPh sb="0" eb="2">
      <t>タイイク</t>
    </rPh>
    <phoneticPr fontId="1"/>
  </si>
  <si>
    <t>家庭</t>
    <rPh sb="0" eb="2">
      <t>カテイ</t>
    </rPh>
    <phoneticPr fontId="1"/>
  </si>
  <si>
    <t>総合</t>
    <rPh sb="0" eb="2">
      <t>ソウゴウ</t>
    </rPh>
    <phoneticPr fontId="1"/>
  </si>
  <si>
    <t>道徳</t>
    <rPh sb="0" eb="2">
      <t>ドウトク</t>
    </rPh>
    <phoneticPr fontId="1"/>
  </si>
  <si>
    <t>学活</t>
    <rPh sb="0" eb="2">
      <t>ガッカツ</t>
    </rPh>
    <phoneticPr fontId="1"/>
  </si>
  <si>
    <t>クラブ</t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</si>
  <si>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</si>
  <si>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</si>
  <si>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</si>
  <si>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</si>
  <si>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月</t>
    <rPh sb="0" eb="1">
      <t>ガツ</t>
    </rPh>
    <phoneticPr fontId="1"/>
  </si>
  <si>
    <t>土</t>
  </si>
  <si>
    <t>日</t>
  </si>
  <si>
    <t>時</t>
    <rPh sb="0" eb="1">
      <t>ジ</t>
    </rPh>
    <phoneticPr fontId="1"/>
  </si>
  <si>
    <t>火</t>
    <rPh sb="0" eb="1">
      <t>カ</t>
    </rPh>
    <phoneticPr fontId="1"/>
  </si>
  <si>
    <t>月</t>
    <rPh sb="0" eb="1">
      <t>ガツ</t>
    </rPh>
    <phoneticPr fontId="1"/>
  </si>
  <si>
    <t>４月</t>
    <rPh sb="1" eb="2">
      <t>ガツ</t>
    </rPh>
    <phoneticPr fontId="1"/>
  </si>
  <si>
    <t>１週</t>
    <rPh sb="1" eb="2">
      <t>シュウ</t>
    </rPh>
    <phoneticPr fontId="1"/>
  </si>
  <si>
    <t>外国語</t>
    <rPh sb="0" eb="3">
      <t>ガイコクゴ</t>
    </rPh>
    <phoneticPr fontId="1"/>
  </si>
  <si>
    <t>２週</t>
    <rPh sb="1" eb="2">
      <t>シュウ</t>
    </rPh>
    <phoneticPr fontId="1"/>
  </si>
  <si>
    <t>３週</t>
    <rPh sb="1" eb="2">
      <t>シュウ</t>
    </rPh>
    <phoneticPr fontId="1"/>
  </si>
  <si>
    <t>４週</t>
    <rPh sb="1" eb="2">
      <t>シュウ</t>
    </rPh>
    <phoneticPr fontId="1"/>
  </si>
  <si>
    <t>５週</t>
    <rPh sb="1" eb="2">
      <t>シュウ</t>
    </rPh>
    <phoneticPr fontId="1"/>
  </si>
  <si>
    <t>６週</t>
    <rPh sb="1" eb="2">
      <t>シュウ</t>
    </rPh>
    <phoneticPr fontId="1"/>
  </si>
  <si>
    <t>小計</t>
    <rPh sb="0" eb="2">
      <t>ショウケイ</t>
    </rPh>
    <phoneticPr fontId="1"/>
  </si>
  <si>
    <t>教科</t>
    <rPh sb="0" eb="2">
      <t>キョウカ</t>
    </rPh>
    <phoneticPr fontId="1"/>
  </si>
  <si>
    <t>儀式</t>
    <rPh sb="0" eb="2">
      <t>ギシキ</t>
    </rPh>
    <phoneticPr fontId="1"/>
  </si>
  <si>
    <t>学芸</t>
    <rPh sb="0" eb="2">
      <t>ガクゲイ</t>
    </rPh>
    <phoneticPr fontId="1"/>
  </si>
  <si>
    <t>健安</t>
    <rPh sb="0" eb="1">
      <t>ケンコウ</t>
    </rPh>
    <rPh sb="1" eb="2">
      <t>アンゼン</t>
    </rPh>
    <phoneticPr fontId="1"/>
  </si>
  <si>
    <t>遠旅</t>
    <rPh sb="0" eb="1">
      <t>エンソク</t>
    </rPh>
    <rPh sb="1" eb="2">
      <t>タビ</t>
    </rPh>
    <phoneticPr fontId="1"/>
  </si>
  <si>
    <t>勤労</t>
    <rPh sb="0" eb="2">
      <t>キンロウ</t>
    </rPh>
    <phoneticPr fontId="1"/>
  </si>
  <si>
    <t>学活＝学</t>
    <rPh sb="0" eb="2">
      <t>ガッカツ</t>
    </rPh>
    <rPh sb="3" eb="4">
      <t>ガク</t>
    </rPh>
    <phoneticPr fontId="1"/>
  </si>
  <si>
    <t>クラブ＝ク</t>
    <phoneticPr fontId="1"/>
  </si>
  <si>
    <t>外国語</t>
    <rPh sb="0" eb="3">
      <t>ガイコクゴ</t>
    </rPh>
    <phoneticPr fontId="1"/>
  </si>
  <si>
    <t>総合計</t>
    <rPh sb="0" eb="3">
      <t>ソウゴウケイ</t>
    </rPh>
    <phoneticPr fontId="1"/>
  </si>
  <si>
    <t>学校行事</t>
    <rPh sb="0" eb="4">
      <t>ガッコウギョウジ</t>
    </rPh>
    <phoneticPr fontId="1"/>
  </si>
  <si>
    <t>行事計</t>
    <rPh sb="0" eb="2">
      <t>ギョウジ</t>
    </rPh>
    <rPh sb="2" eb="3">
      <t>ケイ</t>
    </rPh>
    <phoneticPr fontId="1"/>
  </si>
  <si>
    <t>その他</t>
    <rPh sb="2" eb="3">
      <t>タ</t>
    </rPh>
    <phoneticPr fontId="1"/>
  </si>
  <si>
    <t>儀式＝儀</t>
    <rPh sb="0" eb="2">
      <t>ギシキ</t>
    </rPh>
    <rPh sb="3" eb="4">
      <t>ギシキ</t>
    </rPh>
    <phoneticPr fontId="1"/>
  </si>
  <si>
    <t>学芸＝芸</t>
    <rPh sb="0" eb="2">
      <t>ガクゲイ</t>
    </rPh>
    <rPh sb="3" eb="4">
      <t>ゲイ</t>
    </rPh>
    <phoneticPr fontId="1"/>
  </si>
  <si>
    <t>健安＝健</t>
    <rPh sb="0" eb="1">
      <t>ケンコウ</t>
    </rPh>
    <rPh sb="1" eb="2">
      <t>アンゼン</t>
    </rPh>
    <rPh sb="3" eb="4">
      <t>ケンコウ</t>
    </rPh>
    <phoneticPr fontId="1"/>
  </si>
  <si>
    <t>勤労＝勤</t>
    <rPh sb="0" eb="2">
      <t>キンロウ</t>
    </rPh>
    <rPh sb="3" eb="4">
      <t>キンロウ</t>
    </rPh>
    <phoneticPr fontId="1"/>
  </si>
  <si>
    <t>遠旅＝遠</t>
    <rPh sb="0" eb="1">
      <t>エンソク</t>
    </rPh>
    <rPh sb="1" eb="2">
      <t>リョコウ</t>
    </rPh>
    <rPh sb="3" eb="4">
      <t>エン</t>
    </rPh>
    <phoneticPr fontId="1"/>
  </si>
  <si>
    <t>委員会＝委</t>
    <rPh sb="0" eb="3">
      <t>イインカイ</t>
    </rPh>
    <rPh sb="4" eb="5">
      <t>イイン</t>
    </rPh>
    <phoneticPr fontId="1"/>
  </si>
  <si>
    <t>児童会＝児</t>
    <rPh sb="0" eb="3">
      <t>ジドウカイ</t>
    </rPh>
    <rPh sb="4" eb="5">
      <t>ジ</t>
    </rPh>
    <phoneticPr fontId="1"/>
  </si>
  <si>
    <t>その他＝そ</t>
    <rPh sb="2" eb="3">
      <t>タ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</si>
  <si>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</si>
  <si>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</si>
  <si>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</si>
  <si>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</si>
  <si>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</si>
  <si>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</si>
  <si>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</si>
  <si>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委員会</t>
    <rPh sb="0" eb="3">
      <t>イインカイ</t>
    </rPh>
    <phoneticPr fontId="1"/>
  </si>
  <si>
    <t>児童会</t>
    <rPh sb="0" eb="3">
      <t>ジドウカイ</t>
    </rPh>
    <phoneticPr fontId="1"/>
  </si>
  <si>
    <t>５月</t>
  </si>
  <si>
    <t>６月</t>
  </si>
  <si>
    <t>合計</t>
    <rPh sb="0" eb="2">
      <t>ゴウケイ</t>
    </rPh>
    <phoneticPr fontId="1"/>
  </si>
  <si>
    <t>７月</t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</si>
  <si>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</si>
  <si>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</si>
  <si>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</si>
  <si>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</si>
  <si>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</si>
  <si>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計</t>
    <rPh sb="0" eb="1">
      <t>ケイ</t>
    </rPh>
    <phoneticPr fontId="1"/>
  </si>
  <si>
    <t>一学期</t>
    <rPh sb="0" eb="1">
      <t>イチ</t>
    </rPh>
    <rPh sb="1" eb="3">
      <t>ガッキ</t>
    </rPh>
    <phoneticPr fontId="1"/>
  </si>
  <si>
    <t>月</t>
    <rPh sb="0" eb="1">
      <t>ツキ</t>
    </rPh>
    <phoneticPr fontId="1"/>
  </si>
  <si>
    <t>月別時数集計表</t>
    <rPh sb="0" eb="2">
      <t>ツキベツ</t>
    </rPh>
    <rPh sb="2" eb="4">
      <t>ジスウ</t>
    </rPh>
    <rPh sb="4" eb="7">
      <t>シュウケイヒョウ</t>
    </rPh>
    <phoneticPr fontId="1"/>
  </si>
  <si>
    <t>学期別集計表</t>
    <rPh sb="0" eb="2">
      <t>ガッキ</t>
    </rPh>
    <rPh sb="2" eb="3">
      <t>ベツ</t>
    </rPh>
    <rPh sb="3" eb="5">
      <t>シュウケイ</t>
    </rPh>
    <rPh sb="5" eb="6">
      <t>ヒョウ</t>
    </rPh>
    <phoneticPr fontId="1"/>
  </si>
  <si>
    <t>二学期</t>
    <rPh sb="0" eb="1">
      <t>ニ</t>
    </rPh>
    <rPh sb="1" eb="3">
      <t>ガッキ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</si>
  <si>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</si>
  <si>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</si>
  <si>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</si>
  <si>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</si>
  <si>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</si>
  <si>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三学期</t>
    <rPh sb="0" eb="3">
      <t>サンガッキ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</si>
  <si>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</si>
  <si>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</si>
  <si>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</si>
  <si>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年間総計</t>
    <rPh sb="0" eb="2">
      <t>ネンカン</t>
    </rPh>
    <rPh sb="2" eb="4">
      <t>ソウケイ</t>
    </rPh>
    <phoneticPr fontId="1"/>
  </si>
  <si>
    <t>標準時数</t>
    <rPh sb="0" eb="2">
      <t>ヒョウジュン</t>
    </rPh>
    <rPh sb="2" eb="4">
      <t>ジスウ</t>
    </rPh>
    <phoneticPr fontId="1"/>
  </si>
  <si>
    <t>実施時数</t>
    <rPh sb="0" eb="2">
      <t>ジッシ</t>
    </rPh>
    <rPh sb="2" eb="4">
      <t>ジスウ</t>
    </rPh>
    <phoneticPr fontId="1"/>
  </si>
  <si>
    <t>過不足</t>
    <rPh sb="0" eb="3">
      <t>カフソク</t>
    </rPh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</si>
  <si>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</si>
  <si>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</si>
  <si>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−</t>
  </si>
  <si>
    <t>申し訳ありませんが，黄色いセルには各学年の予定時数を入力してください。</t>
    <rPh sb="0" eb="1">
      <t>モウ</t>
    </rPh>
    <rPh sb="2" eb="3">
      <t>ワケ</t>
    </rPh>
    <rPh sb="10" eb="12">
      <t>キイロ</t>
    </rPh>
    <rPh sb="17" eb="20">
      <t>カクガクネン</t>
    </rPh>
    <rPh sb="21" eb="23">
      <t>ヨテイ</t>
    </rPh>
    <rPh sb="23" eb="25">
      <t>ジスウ</t>
    </rPh>
    <rPh sb="26" eb="28">
      <t>ニュウリョク</t>
    </rPh>
    <phoneticPr fontId="1"/>
  </si>
  <si>
    <t>※年度を記入すると，カレンダーが変わります。</t>
    <rPh sb="1" eb="3">
      <t>ネンド</t>
    </rPh>
    <rPh sb="4" eb="6">
      <t>キニュウ</t>
    </rPh>
    <rPh sb="16" eb="17">
      <t>カ</t>
    </rPh>
    <phoneticPr fontId="1"/>
  </si>
  <si>
    <t>※学年・組・教科名はリストから選んでください。</t>
    <rPh sb="1" eb="3">
      <t>ガクネン</t>
    </rPh>
    <rPh sb="4" eb="5">
      <t>クミ</t>
    </rPh>
    <rPh sb="6" eb="8">
      <t>キョウカ</t>
    </rPh>
    <rPh sb="8" eb="9">
      <t>メイ</t>
    </rPh>
    <rPh sb="15" eb="16">
      <t>エラ</t>
    </rPh>
    <phoneticPr fontId="1"/>
  </si>
  <si>
    <t>※学年を入力すると，「学期別集計」の標準時数が変わります。</t>
    <rPh sb="1" eb="3">
      <t>ガクネン</t>
    </rPh>
    <rPh sb="4" eb="6">
      <t>ニュウリョク</t>
    </rPh>
    <rPh sb="11" eb="13">
      <t>ガッキ</t>
    </rPh>
    <rPh sb="13" eb="14">
      <t>ベツ</t>
    </rPh>
    <rPh sb="14" eb="16">
      <t>シュウケイ</t>
    </rPh>
    <rPh sb="18" eb="20">
      <t>ヒョウジュン</t>
    </rPh>
    <rPh sb="20" eb="22">
      <t>ジスウ</t>
    </rPh>
    <rPh sb="23" eb="24">
      <t>カ</t>
    </rPh>
    <phoneticPr fontId="1"/>
  </si>
  <si>
    <t>※「年間一覧表」には，実施した教科等を入力してください。</t>
    <rPh sb="2" eb="4">
      <t>ネンカン</t>
    </rPh>
    <rPh sb="4" eb="7">
      <t>イチランヒョウ</t>
    </rPh>
    <rPh sb="11" eb="13">
      <t>ジッシ</t>
    </rPh>
    <rPh sb="15" eb="17">
      <t>キョウカ</t>
    </rPh>
    <rPh sb="17" eb="18">
      <t>トウ</t>
    </rPh>
    <rPh sb="19" eb="21">
      <t>ニュウリョク</t>
    </rPh>
    <phoneticPr fontId="1"/>
  </si>
  <si>
    <t>※複数の年度に対応するために，余分な週も集計しています。ご了承ください。</t>
    <rPh sb="1" eb="3">
      <t>フクスウ</t>
    </rPh>
    <rPh sb="4" eb="6">
      <t>ネンド</t>
    </rPh>
    <rPh sb="7" eb="9">
      <t>タイオウ</t>
    </rPh>
    <rPh sb="15" eb="17">
      <t>ヨブン</t>
    </rPh>
    <rPh sb="18" eb="19">
      <t>シュウ</t>
    </rPh>
    <rPh sb="20" eb="22">
      <t>シュウケイ</t>
    </rPh>
    <rPh sb="29" eb="31">
      <t>リョウショウ</t>
    </rPh>
    <phoneticPr fontId="1"/>
  </si>
  <si>
    <t>※春分の日や秋分の日がずれてしまったら，手作業で直してください。</t>
    <rPh sb="1" eb="3">
      <t>シュンブン</t>
    </rPh>
    <rPh sb="4" eb="5">
      <t>ヒ</t>
    </rPh>
    <rPh sb="6" eb="8">
      <t>シュウブン</t>
    </rPh>
    <rPh sb="9" eb="10">
      <t>ヒ</t>
    </rPh>
    <rPh sb="20" eb="23">
      <t>テサギョウ</t>
    </rPh>
    <rPh sb="24" eb="25">
      <t>ナオ</t>
    </rPh>
    <phoneticPr fontId="1"/>
  </si>
  <si>
    <t>欠時</t>
    <rPh sb="0" eb="2">
      <t>ケツジ</t>
    </rPh>
    <phoneticPr fontId="1"/>
  </si>
  <si>
    <t>欠時＝欠</t>
    <rPh sb="0" eb="2">
      <t>ケツジ</t>
    </rPh>
    <rPh sb="3" eb="4">
      <t>ケツ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</si>
</sst>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3" tint="0.79998168889431442"/>
      <name val="ＭＳ Ｐゴシック"/>
      <family val="3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3" tint="0.79998168889431442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CC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4" borderId="1" xfId="0" applyFill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top"/>
      <protection locked="0"/>
    </xf>
    <xf numFmtId="0" fontId="5" fillId="4" borderId="1" xfId="25" applyFill="1" applyBorder="1" applyAlignment="1" applyProtection="1">
      <alignment horizontal="center" vertical="top"/>
      <protection locked="0"/>
    </xf>
    <xf numFmtId="0" fontId="0" fillId="4" borderId="1" xfId="0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0" fillId="12" borderId="1" xfId="0" applyFill="1" applyBorder="1" applyAlignment="1">
      <alignment horizontal="center" vertical="center"/>
    </xf>
    <xf numFmtId="0" fontId="0" fillId="12" borderId="1" xfId="0" applyFill="1" applyBorder="1"/>
    <xf numFmtId="0" fontId="9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0" fillId="2" borderId="0" xfId="0" applyFont="1" applyFill="1"/>
    <xf numFmtId="0" fontId="8" fillId="2" borderId="0" xfId="0" applyFont="1" applyFill="1" applyAlignment="1">
      <alignment horizontal="center" vertic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11" borderId="1" xfId="0" applyFill="1" applyBorder="1" applyProtection="1">
      <protection locked="0"/>
    </xf>
    <xf numFmtId="0" fontId="12" fillId="2" borderId="0" xfId="0" applyFon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9" fillId="0" borderId="2" xfId="0" applyFont="1" applyBorder="1" applyAlignment="1">
      <alignment vertical="center"/>
    </xf>
  </cellXfs>
  <cellStyles count="10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悪い" xfId="25" builtinId="27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</cellStyles>
  <dxfs count="4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</xdr:row>
      <xdr:rowOff>47625</xdr:rowOff>
    </xdr:from>
    <xdr:to>
      <xdr:col>2</xdr:col>
      <xdr:colOff>228600</xdr:colOff>
      <xdr:row>4</xdr:row>
      <xdr:rowOff>228600</xdr:rowOff>
    </xdr:to>
    <xdr:sp macro="" textlink="">
      <xdr:nvSpPr>
        <xdr:cNvPr id="2" name="上矢印吹き出し 1"/>
        <xdr:cNvSpPr/>
      </xdr:nvSpPr>
      <xdr:spPr>
        <a:xfrm>
          <a:off x="561975" y="676275"/>
          <a:ext cx="1343025" cy="1076325"/>
        </a:xfrm>
        <a:prstGeom prst="upArrowCallout">
          <a:avLst>
            <a:gd name="adj1" fmla="val 14381"/>
            <a:gd name="adj2" fmla="val 17035"/>
            <a:gd name="adj3" fmla="val 25000"/>
            <a:gd name="adj4" fmla="val 61780"/>
          </a:avLst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①使用年度を入力リストから選びます</a:t>
          </a:r>
        </a:p>
      </xdr:txBody>
    </xdr:sp>
    <xdr:clientData/>
  </xdr:twoCellAnchor>
  <xdr:twoCellAnchor>
    <xdr:from>
      <xdr:col>7</xdr:col>
      <xdr:colOff>695325</xdr:colOff>
      <xdr:row>0</xdr:row>
      <xdr:rowOff>66675</xdr:rowOff>
    </xdr:from>
    <xdr:to>
      <xdr:col>10</xdr:col>
      <xdr:colOff>76200</xdr:colOff>
      <xdr:row>1</xdr:row>
      <xdr:rowOff>390525</xdr:rowOff>
    </xdr:to>
    <xdr:sp macro="" textlink="">
      <xdr:nvSpPr>
        <xdr:cNvPr id="3" name="左矢印吹き出し 2"/>
        <xdr:cNvSpPr/>
      </xdr:nvSpPr>
      <xdr:spPr>
        <a:xfrm>
          <a:off x="6562725" y="66675"/>
          <a:ext cx="2038350" cy="504825"/>
        </a:xfrm>
        <a:prstGeom prst="leftArrowCallou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②学年・組を入力</a:t>
          </a:r>
          <a:endParaRPr kumimoji="1" lang="en-US" altLang="ja-JP" sz="1100"/>
        </a:p>
        <a:p>
          <a:pPr algn="ctr"/>
          <a:r>
            <a:rPr kumimoji="1" lang="ja-JP" altLang="en-US" sz="1100"/>
            <a:t>リストから選びます</a:t>
          </a:r>
        </a:p>
      </xdr:txBody>
    </xdr:sp>
    <xdr:clientData/>
  </xdr:twoCellAnchor>
  <xdr:twoCellAnchor>
    <xdr:from>
      <xdr:col>9</xdr:col>
      <xdr:colOff>142875</xdr:colOff>
      <xdr:row>5</xdr:row>
      <xdr:rowOff>190500</xdr:rowOff>
    </xdr:from>
    <xdr:to>
      <xdr:col>11</xdr:col>
      <xdr:colOff>219075</xdr:colOff>
      <xdr:row>6</xdr:row>
      <xdr:rowOff>247650</xdr:rowOff>
    </xdr:to>
    <xdr:sp macro="" textlink="">
      <xdr:nvSpPr>
        <xdr:cNvPr id="4" name="左矢印吹き出し 3"/>
        <xdr:cNvSpPr/>
      </xdr:nvSpPr>
      <xdr:spPr>
        <a:xfrm>
          <a:off x="7686675" y="2162175"/>
          <a:ext cx="2038350" cy="504825"/>
        </a:xfrm>
        <a:prstGeom prst="leftArrowCallou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③時間割を入力</a:t>
          </a:r>
          <a:endParaRPr kumimoji="1" lang="en-US" altLang="ja-JP" sz="1100"/>
        </a:p>
        <a:p>
          <a:pPr algn="ctr"/>
          <a:r>
            <a:rPr kumimoji="1" lang="ja-JP" altLang="en-US" sz="1100"/>
            <a:t>リストから選びます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2:M30"/>
  <sheetViews>
    <sheetView tabSelected="1" workbookViewId="0">
      <selection activeCell="I12" sqref="I12"/>
    </sheetView>
  </sheetViews>
  <sheetFormatPr defaultColWidth="12.875" defaultRowHeight="14.25" x14ac:dyDescent="0.15"/>
  <cols>
    <col min="1" max="9" width="11" style="1" customWidth="1"/>
    <col min="10" max="16384" width="12.875" style="1"/>
  </cols>
  <sheetData>
    <row r="2" spans="1:13" ht="35.25" customHeight="1" x14ac:dyDescent="0.15">
      <c r="A2" s="46" t="s">
        <v>0</v>
      </c>
      <c r="B2" s="47"/>
      <c r="C2" s="46" t="s">
        <v>1</v>
      </c>
      <c r="D2" s="46"/>
      <c r="E2" s="47"/>
      <c r="F2" s="46" t="s">
        <v>99</v>
      </c>
      <c r="G2" s="47"/>
      <c r="H2" s="46" t="s">
        <v>100</v>
      </c>
      <c r="M2" s="2" t="s">
        <v>9</v>
      </c>
    </row>
    <row r="3" spans="1:13" ht="35.25" customHeight="1" x14ac:dyDescent="0.15">
      <c r="D3" s="44"/>
      <c r="E3" s="44" t="s">
        <v>3</v>
      </c>
      <c r="F3" s="44" t="s">
        <v>4</v>
      </c>
      <c r="G3" s="44" t="s">
        <v>5</v>
      </c>
      <c r="H3" s="44" t="s">
        <v>6</v>
      </c>
      <c r="I3" s="44" t="s">
        <v>7</v>
      </c>
      <c r="K3" s="45">
        <v>1</v>
      </c>
      <c r="L3" s="45">
        <v>23</v>
      </c>
      <c r="M3" s="2" t="s">
        <v>8</v>
      </c>
    </row>
    <row r="4" spans="1:13" ht="35.25" customHeight="1" x14ac:dyDescent="0.15">
      <c r="D4" s="44">
        <v>1</v>
      </c>
      <c r="E4" s="3" t="s">
        <v>101</v>
      </c>
      <c r="F4" s="3" t="s">
        <v>101</v>
      </c>
      <c r="G4" s="3" t="s">
        <v>101</v>
      </c>
      <c r="H4" s="3" t="s">
        <v>101</v>
      </c>
      <c r="I4" s="3" t="s">
        <v>101</v>
      </c>
      <c r="K4" s="45">
        <v>2</v>
      </c>
      <c r="L4" s="45">
        <v>24</v>
      </c>
      <c r="M4" s="2" t="s">
        <v>10</v>
      </c>
    </row>
    <row r="5" spans="1:13" ht="35.25" customHeight="1" x14ac:dyDescent="0.15">
      <c r="D5" s="44">
        <v>2</v>
      </c>
      <c r="E5" s="3" t="s">
        <v>101</v>
      </c>
      <c r="F5" s="3" t="s">
        <v>101</v>
      </c>
      <c r="G5" s="3" t="s">
        <v>101</v>
      </c>
      <c r="H5" s="3" t="s">
        <v>101</v>
      </c>
      <c r="I5" s="3" t="s">
        <v>101</v>
      </c>
      <c r="K5" s="45">
        <v>3</v>
      </c>
      <c r="L5" s="45">
        <v>25</v>
      </c>
      <c r="M5" s="2" t="s">
        <v>11</v>
      </c>
    </row>
    <row r="6" spans="1:13" ht="35.25" customHeight="1" x14ac:dyDescent="0.15">
      <c r="D6" s="44">
        <v>3</v>
      </c>
      <c r="E6" s="3" t="s">
        <v>101</v>
      </c>
      <c r="F6" s="3" t="s">
        <v>101</v>
      </c>
      <c r="G6" s="3" t="s">
        <v>101</v>
      </c>
      <c r="H6" s="3" t="s">
        <v>101</v>
      </c>
      <c r="I6" s="3" t="s">
        <v>101</v>
      </c>
      <c r="K6" s="45">
        <v>4</v>
      </c>
      <c r="L6" s="45">
        <v>26</v>
      </c>
      <c r="M6" s="2" t="s">
        <v>12</v>
      </c>
    </row>
    <row r="7" spans="1:13" ht="35.25" customHeight="1" x14ac:dyDescent="0.15">
      <c r="D7" s="44">
        <v>4</v>
      </c>
      <c r="E7" s="3" t="s">
        <v>101</v>
      </c>
      <c r="F7" s="3" t="s">
        <v>101</v>
      </c>
      <c r="G7" s="3" t="s">
        <v>101</v>
      </c>
      <c r="H7" s="3" t="s">
        <v>101</v>
      </c>
      <c r="I7" s="3" t="s">
        <v>101</v>
      </c>
      <c r="K7" s="45">
        <v>5</v>
      </c>
      <c r="L7" s="45">
        <v>27</v>
      </c>
      <c r="M7" s="2" t="s">
        <v>13</v>
      </c>
    </row>
    <row r="8" spans="1:13" ht="35.25" customHeight="1" x14ac:dyDescent="0.15">
      <c r="D8" s="44">
        <v>5</v>
      </c>
      <c r="E8" s="3" t="s">
        <v>101</v>
      </c>
      <c r="F8" s="3" t="s">
        <v>101</v>
      </c>
      <c r="G8" s="3" t="s">
        <v>101</v>
      </c>
      <c r="H8" s="3" t="s">
        <v>101</v>
      </c>
      <c r="I8" s="3" t="s">
        <v>101</v>
      </c>
      <c r="K8" s="45">
        <v>6</v>
      </c>
      <c r="L8" s="45">
        <v>28</v>
      </c>
      <c r="M8" s="2" t="s">
        <v>14</v>
      </c>
    </row>
    <row r="9" spans="1:13" ht="35.25" customHeight="1" x14ac:dyDescent="0.15">
      <c r="D9" s="44">
        <v>6</v>
      </c>
      <c r="E9" s="3" t="s">
        <v>101</v>
      </c>
      <c r="F9" s="3" t="s">
        <v>101</v>
      </c>
      <c r="G9" s="3" t="s">
        <v>101</v>
      </c>
      <c r="H9" s="3" t="s">
        <v>101</v>
      </c>
      <c r="I9" s="3" t="s">
        <v>101</v>
      </c>
      <c r="L9" s="45">
        <v>29</v>
      </c>
      <c r="M9" s="2" t="s">
        <v>15</v>
      </c>
    </row>
    <row r="10" spans="1:13" ht="35.25" customHeight="1" x14ac:dyDescent="0.15">
      <c r="L10" s="45">
        <v>30</v>
      </c>
      <c r="M10" s="2" t="s">
        <v>16</v>
      </c>
    </row>
    <row r="11" spans="1:13" x14ac:dyDescent="0.15">
      <c r="B11" s="1" t="s">
        <v>103</v>
      </c>
      <c r="L11" s="45">
        <v>31</v>
      </c>
      <c r="M11" s="2" t="s">
        <v>17</v>
      </c>
    </row>
    <row r="12" spans="1:13" x14ac:dyDescent="0.15">
      <c r="B12" s="1" t="s">
        <v>104</v>
      </c>
      <c r="L12" s="45">
        <v>32</v>
      </c>
      <c r="M12" s="2" t="s">
        <v>18</v>
      </c>
    </row>
    <row r="13" spans="1:13" x14ac:dyDescent="0.15">
      <c r="B13" s="1" t="s">
        <v>105</v>
      </c>
      <c r="L13" s="45">
        <v>33</v>
      </c>
      <c r="M13" s="2" t="s">
        <v>49</v>
      </c>
    </row>
    <row r="14" spans="1:13" x14ac:dyDescent="0.15">
      <c r="B14" s="1" t="s">
        <v>106</v>
      </c>
      <c r="L14" s="45">
        <v>34</v>
      </c>
      <c r="M14" s="2" t="s">
        <v>19</v>
      </c>
    </row>
    <row r="15" spans="1:13" x14ac:dyDescent="0.15">
      <c r="B15" s="1" t="s">
        <v>107</v>
      </c>
      <c r="L15" s="45">
        <v>35</v>
      </c>
      <c r="M15" s="2" t="s">
        <v>20</v>
      </c>
    </row>
    <row r="16" spans="1:13" x14ac:dyDescent="0.15">
      <c r="B16" s="1" t="s">
        <v>108</v>
      </c>
      <c r="L16" s="45">
        <v>36</v>
      </c>
      <c r="M16" s="2" t="s">
        <v>21</v>
      </c>
    </row>
    <row r="17" spans="2:12" x14ac:dyDescent="0.15">
      <c r="L17" s="45">
        <v>37</v>
      </c>
    </row>
    <row r="18" spans="2:12" x14ac:dyDescent="0.15">
      <c r="L18" s="45">
        <v>38</v>
      </c>
    </row>
    <row r="19" spans="2:12" x14ac:dyDescent="0.15">
      <c r="L19" s="45">
        <v>39</v>
      </c>
    </row>
    <row r="20" spans="2:12" x14ac:dyDescent="0.15">
      <c r="L20" s="45">
        <v>40</v>
      </c>
    </row>
    <row r="21" spans="2:12" x14ac:dyDescent="0.15">
      <c r="L21" s="45">
        <v>41</v>
      </c>
    </row>
    <row r="22" spans="2:12" x14ac:dyDescent="0.15">
      <c r="L22" s="45">
        <v>42</v>
      </c>
    </row>
    <row r="23" spans="2:12" ht="28.5" x14ac:dyDescent="0.3">
      <c r="B23" s="49"/>
      <c r="L23" s="45">
        <v>43</v>
      </c>
    </row>
    <row r="24" spans="2:12" x14ac:dyDescent="0.15">
      <c r="L24" s="45">
        <v>44</v>
      </c>
    </row>
    <row r="25" spans="2:12" x14ac:dyDescent="0.15">
      <c r="L25" s="45">
        <v>45</v>
      </c>
    </row>
    <row r="26" spans="2:12" x14ac:dyDescent="0.15">
      <c r="L26" s="45">
        <v>46</v>
      </c>
    </row>
    <row r="27" spans="2:12" x14ac:dyDescent="0.15">
      <c r="L27" s="45">
        <v>47</v>
      </c>
    </row>
    <row r="28" spans="2:12" x14ac:dyDescent="0.15">
      <c r="L28" s="45">
        <v>48</v>
      </c>
    </row>
    <row r="29" spans="2:12" x14ac:dyDescent="0.15">
      <c r="L29" s="45">
        <v>49</v>
      </c>
    </row>
    <row r="30" spans="2:12" x14ac:dyDescent="0.15">
      <c r="L30" s="45">
        <v>50</v>
      </c>
    </row>
  </sheetData>
  <sheetProtection sheet="1" objects="1" scenarios="1"/>
  <phoneticPr fontId="1"/>
  <dataValidations count="3">
    <dataValidation type="list" allowBlank="1" showInputMessage="1" showErrorMessage="1" sqref="E4:I9">
      <formula1>$M$2:$M$16</formula1>
    </dataValidation>
    <dataValidation type="list" allowBlank="1" showInputMessage="1" showErrorMessage="1" sqref="E2 G2">
      <formula1>$K$3:$K$8</formula1>
    </dataValidation>
    <dataValidation type="list" allowBlank="1" showInputMessage="1" showErrorMessage="1" sqref="B2">
      <formula1>$L$3:$L$30</formula1>
    </dataValidation>
  </dataValidations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AO12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" sqref="D1:E1"/>
    </sheetView>
  </sheetViews>
  <sheetFormatPr defaultColWidth="4.625" defaultRowHeight="14.25" x14ac:dyDescent="0.15"/>
  <cols>
    <col min="1" max="24" width="4.625" style="4"/>
    <col min="25" max="25" width="4.625" style="4" customWidth="1"/>
    <col min="26" max="16384" width="4.625" style="4"/>
  </cols>
  <sheetData>
    <row r="1" spans="1:41" x14ac:dyDescent="0.15">
      <c r="A1" s="51" t="s">
        <v>0</v>
      </c>
      <c r="B1" s="51"/>
      <c r="C1" s="4">
        <f>基本設定!B2</f>
        <v>0</v>
      </c>
      <c r="D1" s="52" t="s">
        <v>1</v>
      </c>
      <c r="E1" s="52"/>
      <c r="F1" s="19" t="s">
        <v>47</v>
      </c>
      <c r="G1" s="19"/>
      <c r="H1" s="19"/>
      <c r="I1" s="19" t="s">
        <v>48</v>
      </c>
      <c r="J1" s="19"/>
      <c r="K1" s="19"/>
      <c r="L1" s="7" t="s">
        <v>59</v>
      </c>
      <c r="O1" s="19" t="s">
        <v>54</v>
      </c>
      <c r="P1" s="19"/>
      <c r="Q1" s="19"/>
      <c r="R1" s="20" t="s">
        <v>55</v>
      </c>
      <c r="S1" s="19"/>
      <c r="T1" s="19"/>
      <c r="U1" s="19" t="s">
        <v>56</v>
      </c>
      <c r="V1" s="19"/>
      <c r="W1" s="19"/>
      <c r="X1" s="7" t="s">
        <v>58</v>
      </c>
      <c r="Y1" s="19"/>
      <c r="Z1" s="19"/>
      <c r="AA1" s="21" t="s">
        <v>57</v>
      </c>
      <c r="AB1" s="19"/>
      <c r="AC1" s="19"/>
      <c r="AD1" s="19" t="s">
        <v>60</v>
      </c>
      <c r="AE1" s="19"/>
      <c r="AF1" s="19"/>
      <c r="AG1" s="19" t="s">
        <v>61</v>
      </c>
      <c r="AH1" s="19"/>
      <c r="AI1" s="19"/>
      <c r="AJ1" s="19" t="s">
        <v>110</v>
      </c>
      <c r="AK1" s="19"/>
      <c r="AL1" s="19"/>
      <c r="AM1" s="19"/>
      <c r="AN1" s="19"/>
    </row>
    <row r="3" spans="1:41" x14ac:dyDescent="0.15">
      <c r="B3" s="6">
        <v>4</v>
      </c>
      <c r="C3" s="6" t="s">
        <v>26</v>
      </c>
      <c r="K3" s="7"/>
      <c r="L3" s="7"/>
    </row>
    <row r="4" spans="1:41" x14ac:dyDescent="0.15">
      <c r="B4" s="5"/>
      <c r="C4" s="5" t="str">
        <f>IF(WEEKDAY(DATE($C$1+1988,$B$3,1),2)=1,1,"")</f>
        <v/>
      </c>
      <c r="D4" s="5" t="str">
        <f>IF(C4="",IF(WEEKDAY(DATE($C$1+1988,$B$3,1),2)=2,1,""),C4+1)</f>
        <v/>
      </c>
      <c r="E4" s="5" t="str">
        <f>IF(D4="",IF(WEEKDAY(DATE($C$1+1988,$B$3,1),2)=3,1,""),D4+1)</f>
        <v/>
      </c>
      <c r="F4" s="5" t="str">
        <f>IF(E4="",IF(WEEKDAY(DATE($C$1+1988,$B$3,1),2)=4,1,""),E4+1)</f>
        <v/>
      </c>
      <c r="G4" s="5">
        <f>IF(F4="",IF(WEEKDAY(DATE($C$1+1988,$B$3,1),2)=5,1,""),F4+1)</f>
        <v>1</v>
      </c>
      <c r="H4" s="8">
        <f>IF(G4="",IF(WEEKDAY(DATE($C$1+1988,$B$3,1),2)=6,1,""),G4+1)</f>
        <v>2</v>
      </c>
      <c r="I4" s="8">
        <f>IF(H4="",IF(WEEKDAY(DATE($C$1+1988,$B$3,1),2)=7,1,""),H4+1)</f>
        <v>3</v>
      </c>
      <c r="J4" s="5">
        <f>I4+1</f>
        <v>4</v>
      </c>
      <c r="K4" s="5">
        <f t="shared" ref="K4:AE4" si="0">J4+1</f>
        <v>5</v>
      </c>
      <c r="L4" s="5">
        <f t="shared" si="0"/>
        <v>6</v>
      </c>
      <c r="M4" s="5">
        <f t="shared" si="0"/>
        <v>7</v>
      </c>
      <c r="N4" s="5">
        <f t="shared" si="0"/>
        <v>8</v>
      </c>
      <c r="O4" s="8">
        <f t="shared" si="0"/>
        <v>9</v>
      </c>
      <c r="P4" s="8">
        <f t="shared" si="0"/>
        <v>10</v>
      </c>
      <c r="Q4" s="5">
        <f t="shared" si="0"/>
        <v>11</v>
      </c>
      <c r="R4" s="5">
        <f t="shared" si="0"/>
        <v>12</v>
      </c>
      <c r="S4" s="5">
        <f t="shared" si="0"/>
        <v>13</v>
      </c>
      <c r="T4" s="5">
        <f t="shared" si="0"/>
        <v>14</v>
      </c>
      <c r="U4" s="5">
        <f t="shared" si="0"/>
        <v>15</v>
      </c>
      <c r="V4" s="8">
        <f t="shared" si="0"/>
        <v>16</v>
      </c>
      <c r="W4" s="8">
        <f t="shared" si="0"/>
        <v>17</v>
      </c>
      <c r="X4" s="5">
        <f t="shared" si="0"/>
        <v>18</v>
      </c>
      <c r="Y4" s="5">
        <f t="shared" si="0"/>
        <v>19</v>
      </c>
      <c r="Z4" s="5">
        <f t="shared" si="0"/>
        <v>20</v>
      </c>
      <c r="AA4" s="5">
        <f t="shared" si="0"/>
        <v>21</v>
      </c>
      <c r="AB4" s="5">
        <f t="shared" si="0"/>
        <v>22</v>
      </c>
      <c r="AC4" s="8">
        <f t="shared" si="0"/>
        <v>23</v>
      </c>
      <c r="AD4" s="8">
        <f t="shared" si="0"/>
        <v>24</v>
      </c>
      <c r="AE4" s="5">
        <f t="shared" si="0"/>
        <v>25</v>
      </c>
      <c r="AF4" s="5">
        <f>IFERROR(IF(AE4=30,"",AE4+1),"")</f>
        <v>26</v>
      </c>
      <c r="AG4" s="5">
        <f t="shared" ref="AG4:AH4" si="1">IFERROR(IF(AF4=30,"",AF4+1),"")</f>
        <v>27</v>
      </c>
      <c r="AH4" s="5">
        <f t="shared" si="1"/>
        <v>28</v>
      </c>
      <c r="AI4" s="5">
        <f>IFERROR(IF(AH4=30,"",AH4+1),"")</f>
        <v>29</v>
      </c>
      <c r="AJ4" s="8">
        <f t="shared" ref="AJ4:AO4" si="2">IFERROR(IF(AI4=30,"",AI4+1),"")</f>
        <v>30</v>
      </c>
      <c r="AK4" s="8" t="str">
        <f t="shared" si="2"/>
        <v/>
      </c>
      <c r="AL4" s="5" t="str">
        <f t="shared" si="2"/>
        <v/>
      </c>
      <c r="AM4" s="4" t="str">
        <f t="shared" si="2"/>
        <v/>
      </c>
      <c r="AN4" s="4" t="str">
        <f t="shared" si="2"/>
        <v/>
      </c>
      <c r="AO4" s="4" t="str">
        <f t="shared" si="2"/>
        <v/>
      </c>
    </row>
    <row r="5" spans="1:41" x14ac:dyDescent="0.15">
      <c r="B5" s="5" t="s">
        <v>29</v>
      </c>
      <c r="C5" s="5" t="s">
        <v>3</v>
      </c>
      <c r="D5" s="5" t="s">
        <v>22</v>
      </c>
      <c r="E5" s="5" t="s">
        <v>23</v>
      </c>
      <c r="F5" s="5" t="s">
        <v>24</v>
      </c>
      <c r="G5" s="5" t="s">
        <v>25</v>
      </c>
      <c r="H5" s="8" t="s">
        <v>27</v>
      </c>
      <c r="I5" s="8" t="s">
        <v>28</v>
      </c>
      <c r="J5" s="5" t="s">
        <v>2</v>
      </c>
      <c r="K5" s="5" t="s">
        <v>4</v>
      </c>
      <c r="L5" s="5" t="s">
        <v>5</v>
      </c>
      <c r="M5" s="5" t="s">
        <v>6</v>
      </c>
      <c r="N5" s="5" t="s">
        <v>7</v>
      </c>
      <c r="O5" s="8" t="s">
        <v>27</v>
      </c>
      <c r="P5" s="8" t="s">
        <v>28</v>
      </c>
      <c r="Q5" s="5" t="s">
        <v>2</v>
      </c>
      <c r="R5" s="5" t="s">
        <v>4</v>
      </c>
      <c r="S5" s="5" t="s">
        <v>5</v>
      </c>
      <c r="T5" s="5" t="s">
        <v>6</v>
      </c>
      <c r="U5" s="5" t="s">
        <v>7</v>
      </c>
      <c r="V5" s="8" t="s">
        <v>27</v>
      </c>
      <c r="W5" s="8" t="s">
        <v>28</v>
      </c>
      <c r="X5" s="5" t="s">
        <v>2</v>
      </c>
      <c r="Y5" s="5" t="s">
        <v>4</v>
      </c>
      <c r="Z5" s="5" t="s">
        <v>5</v>
      </c>
      <c r="AA5" s="5" t="s">
        <v>6</v>
      </c>
      <c r="AB5" s="5" t="s">
        <v>7</v>
      </c>
      <c r="AC5" s="8" t="s">
        <v>27</v>
      </c>
      <c r="AD5" s="8" t="s">
        <v>28</v>
      </c>
      <c r="AE5" s="5" t="s">
        <v>2</v>
      </c>
      <c r="AF5" s="5" t="s">
        <v>4</v>
      </c>
      <c r="AG5" s="5" t="s">
        <v>5</v>
      </c>
      <c r="AH5" s="5" t="s">
        <v>6</v>
      </c>
      <c r="AI5" s="5" t="s">
        <v>7</v>
      </c>
      <c r="AJ5" s="8" t="s">
        <v>27</v>
      </c>
      <c r="AK5" s="8" t="s">
        <v>28</v>
      </c>
      <c r="AL5" s="5" t="s">
        <v>2</v>
      </c>
    </row>
    <row r="6" spans="1:41" x14ac:dyDescent="0.15">
      <c r="B6" s="5">
        <v>1</v>
      </c>
      <c r="C6" s="16" t="str">
        <f>IF(C$4="","",IF(C$4&lt;=6,"",LEFT(基本設定!E4,1)))</f>
        <v/>
      </c>
      <c r="D6" s="16" t="str">
        <f>IF(D$4="","",IF(D$4&lt;=6,"",LEFT(基本設定!F4,1)))</f>
        <v/>
      </c>
      <c r="E6" s="16" t="str">
        <f>IF(E$4="","",IF(E$4&lt;=6,"",LEFT(基本設定!G4,1)))</f>
        <v/>
      </c>
      <c r="F6" s="16" t="str">
        <f>IF(F$4="","",IF(F$4&lt;=6,"",LEFT(基本設定!H4,1)))</f>
        <v/>
      </c>
      <c r="G6" s="16" t="str">
        <f>IF(G$4="","",IF(G$4&lt;=6,"",LEFT(基本設定!I4,1)))</f>
        <v/>
      </c>
      <c r="H6" s="17"/>
      <c r="I6" s="18"/>
      <c r="J6" s="16" t="str">
        <f>IF(J$4&lt;=6,"",LEFT(基本設定!E4,1))</f>
        <v/>
      </c>
      <c r="K6" s="16" t="str">
        <f>IF(K$4&lt;=6,"",LEFT(基本設定!F4,1))</f>
        <v/>
      </c>
      <c r="L6" s="16" t="str">
        <f>IF(L$4&lt;=6,"",LEFT(基本設定!G4,1))</f>
        <v/>
      </c>
      <c r="M6" s="16" t="str">
        <f>IF(M$4&lt;=6,"",LEFT(基本設定!H4,1))</f>
        <v>−</v>
      </c>
      <c r="N6" s="16" t="str">
        <f>IF(N$4&lt;=6,"",LEFT(基本設定!I4,1))</f>
        <v>−</v>
      </c>
      <c r="O6" s="18"/>
      <c r="P6" s="18"/>
      <c r="Q6" s="16" t="str">
        <f>LEFT(基本設定!E4,1)</f>
        <v>−</v>
      </c>
      <c r="R6" s="16" t="str">
        <f>LEFT(基本設定!F4,1)</f>
        <v>−</v>
      </c>
      <c r="S6" s="16" t="str">
        <f>LEFT(基本設定!G4,1)</f>
        <v>−</v>
      </c>
      <c r="T6" s="16" t="str">
        <f>LEFT(基本設定!H4,1)</f>
        <v>−</v>
      </c>
      <c r="U6" s="16" t="str">
        <f>LEFT(基本設定!I4,1)</f>
        <v>−</v>
      </c>
      <c r="V6" s="18"/>
      <c r="W6" s="18"/>
      <c r="X6" s="16" t="str">
        <f>LEFT(基本設定!E4,1)</f>
        <v>−</v>
      </c>
      <c r="Y6" s="16" t="str">
        <f>LEFT(基本設定!F4,1)</f>
        <v>−</v>
      </c>
      <c r="Z6" s="16" t="str">
        <f>LEFT(基本設定!G4,1)</f>
        <v>−</v>
      </c>
      <c r="AA6" s="16" t="str">
        <f>LEFT(基本設定!H4,1)</f>
        <v>−</v>
      </c>
      <c r="AB6" s="16" t="str">
        <f>LEFT(基本設定!I4,1)</f>
        <v>−</v>
      </c>
      <c r="AC6" s="18"/>
      <c r="AD6" s="18"/>
      <c r="AE6" s="16" t="str">
        <f>IF(AE$4=29,"昭",LEFT(基本設定!E4,1))</f>
        <v>−</v>
      </c>
      <c r="AF6" s="16" t="str">
        <f>IF(AF$4=29,"昭",LEFT(基本設定!F4,1))</f>
        <v>−</v>
      </c>
      <c r="AG6" s="16" t="str">
        <f>IF(AG$4="","",IF(AG$4=29,"昭",LEFT(基本設定!G4,1)))</f>
        <v>−</v>
      </c>
      <c r="AH6" s="16" t="str">
        <f>IF(AH$4="","",IF(AH$4=29,"昭",LEFT(基本設定!H4,1)))</f>
        <v>−</v>
      </c>
      <c r="AI6" s="16" t="str">
        <f>IF(AI$4="","",IF(AI$4=29,"昭",LEFT(基本設定!I4,1)))</f>
        <v>昭</v>
      </c>
      <c r="AJ6" s="18" t="str">
        <f>IF(AJ$4=29,"昭","")</f>
        <v/>
      </c>
      <c r="AK6" s="18" t="str">
        <f>IF(AK$4=29,"昭","")</f>
        <v/>
      </c>
      <c r="AL6" s="16" t="str">
        <f>IF(AL$4="","",IF(AL$4=30,"",LEFT(基本設定!E4,1)))</f>
        <v/>
      </c>
    </row>
    <row r="7" spans="1:41" x14ac:dyDescent="0.15">
      <c r="B7" s="5">
        <v>2</v>
      </c>
      <c r="C7" s="16" t="str">
        <f>IF(C$4="","",IF(C$4&lt;=6,"",LEFT(基本設定!E5,1)))</f>
        <v/>
      </c>
      <c r="D7" s="16" t="str">
        <f>IF(D$4="","",IF(D$4&lt;=6,"",LEFT(基本設定!F5,1)))</f>
        <v/>
      </c>
      <c r="E7" s="16" t="str">
        <f>IF(E$4="","",IF(E$4&lt;=6,"",LEFT(基本設定!G5,1)))</f>
        <v/>
      </c>
      <c r="F7" s="16" t="str">
        <f>IF(F$4="","",IF(F$4&lt;=6,"",LEFT(基本設定!H5,1)))</f>
        <v/>
      </c>
      <c r="G7" s="16" t="str">
        <f>IF(G$4="","",IF(G$4&lt;=6,"",LEFT(基本設定!I5,1)))</f>
        <v/>
      </c>
      <c r="H7" s="18"/>
      <c r="I7" s="18"/>
      <c r="J7" s="16" t="str">
        <f>IF(J$4&lt;=6,"",LEFT(基本設定!E5,1))</f>
        <v/>
      </c>
      <c r="K7" s="16" t="str">
        <f>IF(K$4&lt;=6,"",LEFT(基本設定!F5,1))</f>
        <v/>
      </c>
      <c r="L7" s="16" t="str">
        <f>IF(L$4&lt;=6,"",LEFT(基本設定!G5,1))</f>
        <v/>
      </c>
      <c r="M7" s="16" t="str">
        <f>IF(M$4&lt;=6,"",LEFT(基本設定!H5,1))</f>
        <v>−</v>
      </c>
      <c r="N7" s="16" t="str">
        <f>IF(N$4&lt;=6,"",LEFT(基本設定!I5,1))</f>
        <v>−</v>
      </c>
      <c r="O7" s="18"/>
      <c r="P7" s="18"/>
      <c r="Q7" s="16" t="str">
        <f>LEFT(基本設定!E5,1)</f>
        <v>−</v>
      </c>
      <c r="R7" s="16" t="str">
        <f>LEFT(基本設定!F5,1)</f>
        <v>−</v>
      </c>
      <c r="S7" s="16" t="str">
        <f>LEFT(基本設定!G5,1)</f>
        <v>−</v>
      </c>
      <c r="T7" s="16" t="str">
        <f>LEFT(基本設定!H5,1)</f>
        <v>−</v>
      </c>
      <c r="U7" s="16" t="str">
        <f>LEFT(基本設定!I5,1)</f>
        <v>−</v>
      </c>
      <c r="V7" s="18"/>
      <c r="W7" s="18"/>
      <c r="X7" s="16" t="str">
        <f>LEFT(基本設定!E5,1)</f>
        <v>−</v>
      </c>
      <c r="Y7" s="16" t="str">
        <f>LEFT(基本設定!F5,1)</f>
        <v>−</v>
      </c>
      <c r="Z7" s="16" t="str">
        <f>LEFT(基本設定!G5,1)</f>
        <v>−</v>
      </c>
      <c r="AA7" s="16" t="str">
        <f>LEFT(基本設定!H5,1)</f>
        <v>−</v>
      </c>
      <c r="AB7" s="16" t="str">
        <f>LEFT(基本設定!I5,1)</f>
        <v>−</v>
      </c>
      <c r="AC7" s="18"/>
      <c r="AD7" s="18"/>
      <c r="AE7" s="16" t="str">
        <f>IF(AE$4=29,"和",LEFT(基本設定!E5,1))</f>
        <v>−</v>
      </c>
      <c r="AF7" s="16" t="str">
        <f>IF(AF$4=29,"和",LEFT(基本設定!F5,1))</f>
        <v>−</v>
      </c>
      <c r="AG7" s="16" t="str">
        <f>IF(AG$4="","",IF(AG$4=29,"和",LEFT(基本設定!G5,1)))</f>
        <v>−</v>
      </c>
      <c r="AH7" s="16" t="str">
        <f>IF(AH$4="","",IF(AH$4=29,"和",LEFT(基本設定!H5,1)))</f>
        <v>−</v>
      </c>
      <c r="AI7" s="16" t="str">
        <f>IF(AI$4="","",IF(AI$4=29,"和",LEFT(基本設定!I5,1)))</f>
        <v>和</v>
      </c>
      <c r="AJ7" s="18" t="str">
        <f>IF(AJ$4=29,"和","")</f>
        <v/>
      </c>
      <c r="AK7" s="18" t="str">
        <f>IF(AK$4=29,"和","")</f>
        <v/>
      </c>
      <c r="AL7" s="16" t="str">
        <f>IF(AL$4="","",IF(AL$4=30,"休",LEFT(基本設定!E5,1)))</f>
        <v/>
      </c>
    </row>
    <row r="8" spans="1:41" x14ac:dyDescent="0.15">
      <c r="B8" s="5">
        <v>3</v>
      </c>
      <c r="C8" s="16" t="str">
        <f>IF(C$4="","",IF(C$4&lt;=6,"",LEFT(基本設定!E6,1)))</f>
        <v/>
      </c>
      <c r="D8" s="16" t="str">
        <f>IF(D$4="","",IF(D$4&lt;=6,"",LEFT(基本設定!F6,1)))</f>
        <v/>
      </c>
      <c r="E8" s="16" t="str">
        <f>IF(E$4="","",IF(E$4&lt;=6,"",LEFT(基本設定!G6,1)))</f>
        <v/>
      </c>
      <c r="F8" s="16" t="str">
        <f>IF(F$4="","",IF(F$4&lt;=6,"",LEFT(基本設定!H6,1)))</f>
        <v/>
      </c>
      <c r="G8" s="16" t="str">
        <f>IF(G$4="","",IF(G$4&lt;=6,"",LEFT(基本設定!I6,1)))</f>
        <v/>
      </c>
      <c r="H8" s="18"/>
      <c r="I8" s="18"/>
      <c r="J8" s="16" t="str">
        <f>IF(J$4&lt;=6,"",LEFT(基本設定!E6,1))</f>
        <v/>
      </c>
      <c r="K8" s="16" t="str">
        <f>IF(K$4&lt;=6,"",LEFT(基本設定!F6,1))</f>
        <v/>
      </c>
      <c r="L8" s="16" t="str">
        <f>IF(L$4&lt;=6,"",LEFT(基本設定!G6,1))</f>
        <v/>
      </c>
      <c r="M8" s="16" t="str">
        <f>IF(M$4&lt;=6,"",LEFT(基本設定!H6,1))</f>
        <v>−</v>
      </c>
      <c r="N8" s="16" t="str">
        <f>IF(N$4&lt;=6,"",LEFT(基本設定!I6,1))</f>
        <v>−</v>
      </c>
      <c r="O8" s="18"/>
      <c r="P8" s="18"/>
      <c r="Q8" s="16" t="str">
        <f>LEFT(基本設定!E6,1)</f>
        <v>−</v>
      </c>
      <c r="R8" s="16" t="str">
        <f>LEFT(基本設定!F6,1)</f>
        <v>−</v>
      </c>
      <c r="S8" s="16" t="str">
        <f>LEFT(基本設定!G6,1)</f>
        <v>−</v>
      </c>
      <c r="T8" s="16" t="str">
        <f>LEFT(基本設定!H6,1)</f>
        <v>−</v>
      </c>
      <c r="U8" s="16" t="str">
        <f>LEFT(基本設定!I6,1)</f>
        <v>−</v>
      </c>
      <c r="V8" s="18"/>
      <c r="W8" s="18"/>
      <c r="X8" s="16" t="str">
        <f>LEFT(基本設定!E6,1)</f>
        <v>−</v>
      </c>
      <c r="Y8" s="16" t="str">
        <f>LEFT(基本設定!F6,1)</f>
        <v>−</v>
      </c>
      <c r="Z8" s="16" t="str">
        <f>LEFT(基本設定!G6,1)</f>
        <v>−</v>
      </c>
      <c r="AA8" s="16" t="str">
        <f>LEFT(基本設定!H6,1)</f>
        <v>−</v>
      </c>
      <c r="AB8" s="16" t="str">
        <f>LEFT(基本設定!I6,1)</f>
        <v>−</v>
      </c>
      <c r="AC8" s="18"/>
      <c r="AD8" s="18"/>
      <c r="AE8" s="16" t="str">
        <f>IF(AE$4=29,"の",LEFT(基本設定!E6,1))</f>
        <v>−</v>
      </c>
      <c r="AF8" s="16" t="str">
        <f>IF(AF$4=29,"の",LEFT(基本設定!F6,1))</f>
        <v>−</v>
      </c>
      <c r="AG8" s="16" t="str">
        <f>IF(AG$4="","",IF(AG$4=29,"の",LEFT(基本設定!G6,1)))</f>
        <v>−</v>
      </c>
      <c r="AH8" s="16" t="str">
        <f>IF(AH$4="","",IF(AH$4=29,"の",LEFT(基本設定!H6,1)))</f>
        <v>−</v>
      </c>
      <c r="AI8" s="16" t="str">
        <f>IF(AI$4="","",IF(AI$4=29,"の",LEFT(基本設定!I6,1)))</f>
        <v>の</v>
      </c>
      <c r="AJ8" s="18" t="str">
        <f>IF(AJ$4=29,"の","")</f>
        <v/>
      </c>
      <c r="AK8" s="18" t="str">
        <f>IF(AK$4=29,"の","")</f>
        <v/>
      </c>
      <c r="AL8" s="16" t="str">
        <f>IF(AL$4="","",IF(AL$4=30,"",LEFT(基本設定!E6,1)))</f>
        <v/>
      </c>
    </row>
    <row r="9" spans="1:41" x14ac:dyDescent="0.15">
      <c r="B9" s="5">
        <v>4</v>
      </c>
      <c r="C9" s="16" t="str">
        <f>IF(C$4="","",IF(C$4&lt;=6,"",LEFT(基本設定!E7,1)))</f>
        <v/>
      </c>
      <c r="D9" s="16" t="str">
        <f>IF(D$4="","",IF(D$4&lt;=6,"",LEFT(基本設定!F7,1)))</f>
        <v/>
      </c>
      <c r="E9" s="16" t="str">
        <f>IF(E$4="","",IF(E$4&lt;=6,"",LEFT(基本設定!G7,1)))</f>
        <v/>
      </c>
      <c r="F9" s="16" t="str">
        <f>IF(F$4="","",IF(F$4&lt;=6,"",LEFT(基本設定!H7,1)))</f>
        <v/>
      </c>
      <c r="G9" s="16" t="str">
        <f>IF(G$4="","",IF(G$4&lt;=6,"",LEFT(基本設定!I7,1)))</f>
        <v/>
      </c>
      <c r="H9" s="18"/>
      <c r="I9" s="18"/>
      <c r="J9" s="16" t="str">
        <f>IF(J$4&lt;=6,"",LEFT(基本設定!E7,1))</f>
        <v/>
      </c>
      <c r="K9" s="16" t="str">
        <f>IF(K$4&lt;=6,"",LEFT(基本設定!F7,1))</f>
        <v/>
      </c>
      <c r="L9" s="16" t="str">
        <f>IF(L$4&lt;=6,"",LEFT(基本設定!G7,1))</f>
        <v/>
      </c>
      <c r="M9" s="16" t="str">
        <f>IF(M$4&lt;=6,"",LEFT(基本設定!H7,1))</f>
        <v>−</v>
      </c>
      <c r="N9" s="16" t="str">
        <f>IF(N$4&lt;=6,"",LEFT(基本設定!I7,1))</f>
        <v>−</v>
      </c>
      <c r="O9" s="18"/>
      <c r="P9" s="18"/>
      <c r="Q9" s="16" t="str">
        <f>LEFT(基本設定!E7,1)</f>
        <v>−</v>
      </c>
      <c r="R9" s="16" t="str">
        <f>LEFT(基本設定!F7,1)</f>
        <v>−</v>
      </c>
      <c r="S9" s="16" t="str">
        <f>LEFT(基本設定!G7,1)</f>
        <v>−</v>
      </c>
      <c r="T9" s="16" t="str">
        <f>LEFT(基本設定!H7,1)</f>
        <v>−</v>
      </c>
      <c r="U9" s="16" t="str">
        <f>LEFT(基本設定!I7,1)</f>
        <v>−</v>
      </c>
      <c r="V9" s="18"/>
      <c r="W9" s="18"/>
      <c r="X9" s="16" t="str">
        <f>LEFT(基本設定!E7,1)</f>
        <v>−</v>
      </c>
      <c r="Y9" s="16" t="str">
        <f>LEFT(基本設定!F7,1)</f>
        <v>−</v>
      </c>
      <c r="Z9" s="16" t="str">
        <f>LEFT(基本設定!G7,1)</f>
        <v>−</v>
      </c>
      <c r="AA9" s="16" t="str">
        <f>LEFT(基本設定!H7,1)</f>
        <v>−</v>
      </c>
      <c r="AB9" s="16" t="str">
        <f>LEFT(基本設定!I7,1)</f>
        <v>−</v>
      </c>
      <c r="AC9" s="18"/>
      <c r="AD9" s="18"/>
      <c r="AE9" s="16" t="str">
        <f>IF(AE$4=29,"日",LEFT(基本設定!E7,1))</f>
        <v>−</v>
      </c>
      <c r="AF9" s="16" t="str">
        <f>IF(AF$4=29,"日",LEFT(基本設定!F7,1))</f>
        <v>−</v>
      </c>
      <c r="AG9" s="16" t="str">
        <f>IF(AG$4="","",IF(AG$4=29,"日",LEFT(基本設定!G7,1)))</f>
        <v>−</v>
      </c>
      <c r="AH9" s="16" t="str">
        <f>IF(AH$4="","",IF(AH$4=29,"日",LEFT(基本設定!H7,1)))</f>
        <v>−</v>
      </c>
      <c r="AI9" s="16" t="str">
        <f>IF(AI$4="","",IF(AI$4=29,"日",LEFT(基本設定!I7,1)))</f>
        <v>日</v>
      </c>
      <c r="AJ9" s="18" t="str">
        <f>IF(AJ$4=29,"日","")</f>
        <v/>
      </c>
      <c r="AK9" s="18" t="str">
        <f>IF(AK$4=29,"日","")</f>
        <v/>
      </c>
      <c r="AL9" s="16" t="str">
        <f>IF(AL$4="","",IF(AL$4=30,"日",LEFT(基本設定!E7,1)))</f>
        <v/>
      </c>
    </row>
    <row r="10" spans="1:41" x14ac:dyDescent="0.15">
      <c r="B10" s="5">
        <v>5</v>
      </c>
      <c r="C10" s="16" t="str">
        <f>IF(C$4="","",IF(C$4&lt;=6,"",LEFT(基本設定!E8,1)))</f>
        <v/>
      </c>
      <c r="D10" s="16" t="str">
        <f>IF(D$4="","",IF(D$4&lt;=6,"",LEFT(基本設定!F8,1)))</f>
        <v/>
      </c>
      <c r="E10" s="16" t="str">
        <f>IF(E$4="","",IF(E$4&lt;=6,"",LEFT(基本設定!G8,1)))</f>
        <v/>
      </c>
      <c r="F10" s="16" t="str">
        <f>IF(F$4="","",IF(F$4&lt;=6,"",LEFT(基本設定!H8,1)))</f>
        <v/>
      </c>
      <c r="G10" s="16" t="str">
        <f>IF(G$4="","",IF(G$4&lt;=6,"",LEFT(基本設定!I8,1)))</f>
        <v/>
      </c>
      <c r="H10" s="18"/>
      <c r="I10" s="18"/>
      <c r="J10" s="16" t="str">
        <f>IF(J$4&lt;=6,"",LEFT(基本設定!E8,1))</f>
        <v/>
      </c>
      <c r="K10" s="16" t="str">
        <f>IF(K$4&lt;=6,"",LEFT(基本設定!F8,1))</f>
        <v/>
      </c>
      <c r="L10" s="16" t="str">
        <f>IF(L$4&lt;=6,"",LEFT(基本設定!G8,1))</f>
        <v/>
      </c>
      <c r="M10" s="16" t="str">
        <f>IF(M$4&lt;=6,"",LEFT(基本設定!H8,1))</f>
        <v>−</v>
      </c>
      <c r="N10" s="16" t="str">
        <f>IF(N$4&lt;=6,"",LEFT(基本設定!I8,1))</f>
        <v>−</v>
      </c>
      <c r="O10" s="18"/>
      <c r="P10" s="18"/>
      <c r="Q10" s="16" t="str">
        <f>LEFT(基本設定!E8,1)</f>
        <v>−</v>
      </c>
      <c r="R10" s="16" t="str">
        <f>LEFT(基本設定!F8,1)</f>
        <v>−</v>
      </c>
      <c r="S10" s="16" t="str">
        <f>LEFT(基本設定!G8,1)</f>
        <v>−</v>
      </c>
      <c r="T10" s="16" t="str">
        <f>LEFT(基本設定!H8,1)</f>
        <v>−</v>
      </c>
      <c r="U10" s="16" t="str">
        <f>LEFT(基本設定!I8,1)</f>
        <v>−</v>
      </c>
      <c r="V10" s="18"/>
      <c r="W10" s="18"/>
      <c r="X10" s="16" t="str">
        <f>LEFT(基本設定!E8,1)</f>
        <v>−</v>
      </c>
      <c r="Y10" s="16" t="str">
        <f>LEFT(基本設定!F8,1)</f>
        <v>−</v>
      </c>
      <c r="Z10" s="16" t="str">
        <f>LEFT(基本設定!G8,1)</f>
        <v>−</v>
      </c>
      <c r="AA10" s="16" t="str">
        <f>LEFT(基本設定!H8,1)</f>
        <v>−</v>
      </c>
      <c r="AB10" s="16" t="str">
        <f>LEFT(基本設定!I8,1)</f>
        <v>−</v>
      </c>
      <c r="AC10" s="18"/>
      <c r="AD10" s="18"/>
      <c r="AE10" s="16" t="str">
        <f>IF(AE$4=29,"",LEFT(基本設定!E8,1))</f>
        <v>−</v>
      </c>
      <c r="AF10" s="16" t="str">
        <f>IF(AF$4=29,"",LEFT(基本設定!F8,1))</f>
        <v>−</v>
      </c>
      <c r="AG10" s="16" t="str">
        <f>IF(AG$4="","",IF(AG$4=29,"",LEFT(基本設定!G8,1)))</f>
        <v>−</v>
      </c>
      <c r="AH10" s="16" t="str">
        <f>IF(AH$4="","",IF(AH$4=29,"",LEFT(基本設定!H8,1)))</f>
        <v>−</v>
      </c>
      <c r="AI10" s="16" t="str">
        <f>IF(AI$4="","",IF(AI$4=29,"",LEFT(基本設定!I8,1)))</f>
        <v/>
      </c>
      <c r="AJ10" s="18" t="str">
        <f>IF(AJ$4=29,"","")</f>
        <v/>
      </c>
      <c r="AK10" s="18" t="str">
        <f>IF(AK$4=29,"","")</f>
        <v/>
      </c>
      <c r="AL10" s="16" t="str">
        <f>IF(AL$4="","",IF(AL$4=30,"",LEFT(基本設定!E8,1)))</f>
        <v/>
      </c>
    </row>
    <row r="11" spans="1:41" x14ac:dyDescent="0.15">
      <c r="B11" s="5">
        <v>6</v>
      </c>
      <c r="C11" s="16" t="str">
        <f>IF(C$4="","",IF(C$4&lt;=6,"",LEFT(基本設定!E9,1)))</f>
        <v/>
      </c>
      <c r="D11" s="16" t="str">
        <f>IF(D$4="","",IF(D$4&lt;=6,"",LEFT(基本設定!F9,1)))</f>
        <v/>
      </c>
      <c r="E11" s="16" t="str">
        <f>IF(E$4="","",IF(E$4&lt;=6,"",LEFT(基本設定!G9,1)))</f>
        <v/>
      </c>
      <c r="F11" s="16" t="str">
        <f>IF(F$4="","",IF(F$4&lt;=6,"",LEFT(基本設定!H9,1)))</f>
        <v/>
      </c>
      <c r="G11" s="16" t="str">
        <f>IF(G$4="","",IF(G$4&lt;=6,"",LEFT(基本設定!I9,1)))</f>
        <v/>
      </c>
      <c r="H11" s="18"/>
      <c r="I11" s="18"/>
      <c r="J11" s="16" t="str">
        <f>IF(J$4&lt;=6,"",LEFT(基本設定!E9,1))</f>
        <v/>
      </c>
      <c r="K11" s="16" t="str">
        <f>IF(K$4&lt;=6,"",LEFT(基本設定!F9,1))</f>
        <v/>
      </c>
      <c r="L11" s="16" t="str">
        <f>IF(L$4&lt;=6,"",LEFT(基本設定!G9,1))</f>
        <v/>
      </c>
      <c r="M11" s="16" t="str">
        <f>IF(M$4&lt;=6,"",LEFT(基本設定!H9,1))</f>
        <v>−</v>
      </c>
      <c r="N11" s="16" t="str">
        <f>IF(N$4&lt;=6,"",LEFT(基本設定!I9,1))</f>
        <v>−</v>
      </c>
      <c r="O11" s="18"/>
      <c r="P11" s="18"/>
      <c r="Q11" s="16" t="str">
        <f>LEFT(基本設定!E9,1)</f>
        <v>−</v>
      </c>
      <c r="R11" s="16" t="str">
        <f>LEFT(基本設定!F9,1)</f>
        <v>−</v>
      </c>
      <c r="S11" s="16" t="str">
        <f>LEFT(基本設定!G9,1)</f>
        <v>−</v>
      </c>
      <c r="T11" s="16" t="str">
        <f>LEFT(基本設定!H9,1)</f>
        <v>−</v>
      </c>
      <c r="U11" s="16" t="str">
        <f>LEFT(基本設定!I9,1)</f>
        <v>−</v>
      </c>
      <c r="V11" s="18"/>
      <c r="W11" s="18"/>
      <c r="X11" s="16" t="str">
        <f>LEFT(基本設定!E9,1)</f>
        <v>−</v>
      </c>
      <c r="Y11" s="16" t="str">
        <f>LEFT(基本設定!F9,1)</f>
        <v>−</v>
      </c>
      <c r="Z11" s="16" t="str">
        <f>LEFT(基本設定!G9,1)</f>
        <v>−</v>
      </c>
      <c r="AA11" s="16" t="str">
        <f>LEFT(基本設定!H9,1)</f>
        <v>−</v>
      </c>
      <c r="AB11" s="16" t="str">
        <f>LEFT(基本設定!I9,1)</f>
        <v>−</v>
      </c>
      <c r="AC11" s="18"/>
      <c r="AD11" s="18"/>
      <c r="AE11" s="16" t="str">
        <f>IF(AE$4=29,"",LEFT(基本設定!E9,1))</f>
        <v>−</v>
      </c>
      <c r="AF11" s="16" t="str">
        <f>IF(AF$4=29,"",LEFT(基本設定!F9,1))</f>
        <v>−</v>
      </c>
      <c r="AG11" s="16" t="str">
        <f>IF(AG$4="","",IF(AG$4=29,"",LEFT(基本設定!G9,1)))</f>
        <v>−</v>
      </c>
      <c r="AH11" s="16" t="str">
        <f>IF(AH$4="","",IF(AH$4=29,"",LEFT(基本設定!H9,1)))</f>
        <v>−</v>
      </c>
      <c r="AI11" s="16" t="str">
        <f>IF(AI$4="","",IF(AI$4=29,"",LEFT(基本設定!I9,1)))</f>
        <v/>
      </c>
      <c r="AJ11" s="18" t="str">
        <f>IF(AJ$4=29,"","")</f>
        <v/>
      </c>
      <c r="AK11" s="18" t="str">
        <f>IF(AK$4=29,"","")</f>
        <v/>
      </c>
      <c r="AL11" s="16" t="str">
        <f>IF(AL$4="","",IF(AL$4=30,"",LEFT(基本設定!E9,1)))</f>
        <v/>
      </c>
    </row>
    <row r="13" spans="1:41" x14ac:dyDescent="0.15">
      <c r="B13" s="6">
        <v>5</v>
      </c>
      <c r="C13" s="6" t="s">
        <v>26</v>
      </c>
      <c r="K13" s="7"/>
      <c r="L13" s="7"/>
    </row>
    <row r="14" spans="1:41" x14ac:dyDescent="0.15">
      <c r="B14" s="5"/>
      <c r="C14" s="5" t="str">
        <f>IF(WEEKDAY(DATE($C$1+1988,$B13,1),2)=1,1,"")</f>
        <v/>
      </c>
      <c r="D14" s="5" t="str">
        <f>IF(C14="",IF(WEEKDAY(DATE($C$1+1988,$B13,1),2)=2,1,""),C14+1)</f>
        <v/>
      </c>
      <c r="E14" s="5" t="str">
        <f>IF(D14="",IF(WEEKDAY(DATE($C$1+1988,$B13,1),2)=3,1,""),D14+1)</f>
        <v/>
      </c>
      <c r="F14" s="5" t="str">
        <f>IF(E14="",IF(WEEKDAY(DATE($C$1+1988,$B13,1),2)=4,1,""),E14+1)</f>
        <v/>
      </c>
      <c r="G14" s="5" t="str">
        <f>IF(F14="",IF(WEEKDAY(DATE($C$1+1988,$B13,1),2)=5,1,""),F14+1)</f>
        <v/>
      </c>
      <c r="H14" s="8" t="str">
        <f>IF(G14="",IF(WEEKDAY(DATE($C$1+1988,$B13,1),2)=6,1,""),G14+1)</f>
        <v/>
      </c>
      <c r="I14" s="8">
        <f>IF(H14="",IF(WEEKDAY(DATE($C$1+1988,$B13,1),2)=7,1,""),H14+1)</f>
        <v>1</v>
      </c>
      <c r="J14" s="5">
        <f>I14+1</f>
        <v>2</v>
      </c>
      <c r="K14" s="5">
        <f t="shared" ref="K14" si="3">J14+1</f>
        <v>3</v>
      </c>
      <c r="L14" s="5">
        <f t="shared" ref="L14" si="4">K14+1</f>
        <v>4</v>
      </c>
      <c r="M14" s="5">
        <f t="shared" ref="M14" si="5">L14+1</f>
        <v>5</v>
      </c>
      <c r="N14" s="5">
        <f t="shared" ref="N14" si="6">M14+1</f>
        <v>6</v>
      </c>
      <c r="O14" s="8">
        <f t="shared" ref="O14" si="7">N14+1</f>
        <v>7</v>
      </c>
      <c r="P14" s="8">
        <f t="shared" ref="P14" si="8">O14+1</f>
        <v>8</v>
      </c>
      <c r="Q14" s="5">
        <f t="shared" ref="Q14" si="9">P14+1</f>
        <v>9</v>
      </c>
      <c r="R14" s="5">
        <f t="shared" ref="R14" si="10">Q14+1</f>
        <v>10</v>
      </c>
      <c r="S14" s="5">
        <f t="shared" ref="S14" si="11">R14+1</f>
        <v>11</v>
      </c>
      <c r="T14" s="5">
        <f t="shared" ref="T14" si="12">S14+1</f>
        <v>12</v>
      </c>
      <c r="U14" s="5">
        <f t="shared" ref="U14" si="13">T14+1</f>
        <v>13</v>
      </c>
      <c r="V14" s="8">
        <f t="shared" ref="V14" si="14">U14+1</f>
        <v>14</v>
      </c>
      <c r="W14" s="8">
        <f t="shared" ref="W14" si="15">V14+1</f>
        <v>15</v>
      </c>
      <c r="X14" s="5">
        <f t="shared" ref="X14" si="16">W14+1</f>
        <v>16</v>
      </c>
      <c r="Y14" s="5">
        <f t="shared" ref="Y14" si="17">X14+1</f>
        <v>17</v>
      </c>
      <c r="Z14" s="5">
        <f t="shared" ref="Z14" si="18">Y14+1</f>
        <v>18</v>
      </c>
      <c r="AA14" s="5">
        <f t="shared" ref="AA14" si="19">Z14+1</f>
        <v>19</v>
      </c>
      <c r="AB14" s="5">
        <f t="shared" ref="AB14" si="20">AA14+1</f>
        <v>20</v>
      </c>
      <c r="AC14" s="8">
        <f t="shared" ref="AC14" si="21">AB14+1</f>
        <v>21</v>
      </c>
      <c r="AD14" s="8">
        <f t="shared" ref="AD14" si="22">AC14+1</f>
        <v>22</v>
      </c>
      <c r="AE14" s="5">
        <f t="shared" ref="AE14" si="23">AD14+1</f>
        <v>23</v>
      </c>
      <c r="AF14" s="5">
        <f t="shared" ref="AF14:AM14" si="24">IFERROR(IF(AE14=31,"",AE14+1),"")</f>
        <v>24</v>
      </c>
      <c r="AG14" s="5">
        <f t="shared" si="24"/>
        <v>25</v>
      </c>
      <c r="AH14" s="5">
        <f t="shared" si="24"/>
        <v>26</v>
      </c>
      <c r="AI14" s="5">
        <f t="shared" si="24"/>
        <v>27</v>
      </c>
      <c r="AJ14" s="8">
        <f t="shared" si="24"/>
        <v>28</v>
      </c>
      <c r="AK14" s="8">
        <f t="shared" si="24"/>
        <v>29</v>
      </c>
      <c r="AL14" s="5">
        <f t="shared" si="24"/>
        <v>30</v>
      </c>
      <c r="AM14" s="5">
        <f t="shared" si="24"/>
        <v>31</v>
      </c>
    </row>
    <row r="15" spans="1:41" x14ac:dyDescent="0.15">
      <c r="B15" s="5" t="s">
        <v>29</v>
      </c>
      <c r="C15" s="5" t="s">
        <v>3</v>
      </c>
      <c r="D15" s="5" t="s">
        <v>22</v>
      </c>
      <c r="E15" s="5" t="s">
        <v>23</v>
      </c>
      <c r="F15" s="5" t="s">
        <v>24</v>
      </c>
      <c r="G15" s="5" t="s">
        <v>25</v>
      </c>
      <c r="H15" s="8" t="s">
        <v>27</v>
      </c>
      <c r="I15" s="8" t="s">
        <v>28</v>
      </c>
      <c r="J15" s="5" t="s">
        <v>2</v>
      </c>
      <c r="K15" s="5" t="s">
        <v>4</v>
      </c>
      <c r="L15" s="5" t="s">
        <v>5</v>
      </c>
      <c r="M15" s="5" t="s">
        <v>6</v>
      </c>
      <c r="N15" s="5" t="s">
        <v>7</v>
      </c>
      <c r="O15" s="8" t="s">
        <v>27</v>
      </c>
      <c r="P15" s="8" t="s">
        <v>28</v>
      </c>
      <c r="Q15" s="5" t="s">
        <v>2</v>
      </c>
      <c r="R15" s="5" t="s">
        <v>4</v>
      </c>
      <c r="S15" s="5" t="s">
        <v>5</v>
      </c>
      <c r="T15" s="5" t="s">
        <v>6</v>
      </c>
      <c r="U15" s="5" t="s">
        <v>7</v>
      </c>
      <c r="V15" s="8" t="s">
        <v>27</v>
      </c>
      <c r="W15" s="8" t="s">
        <v>28</v>
      </c>
      <c r="X15" s="5" t="s">
        <v>2</v>
      </c>
      <c r="Y15" s="5" t="s">
        <v>4</v>
      </c>
      <c r="Z15" s="5" t="s">
        <v>5</v>
      </c>
      <c r="AA15" s="5" t="s">
        <v>6</v>
      </c>
      <c r="AB15" s="5" t="s">
        <v>7</v>
      </c>
      <c r="AC15" s="8" t="s">
        <v>27</v>
      </c>
      <c r="AD15" s="8" t="s">
        <v>28</v>
      </c>
      <c r="AE15" s="5" t="s">
        <v>2</v>
      </c>
      <c r="AF15" s="5" t="s">
        <v>4</v>
      </c>
      <c r="AG15" s="5" t="s">
        <v>5</v>
      </c>
      <c r="AH15" s="5" t="s">
        <v>6</v>
      </c>
      <c r="AI15" s="5" t="s">
        <v>7</v>
      </c>
      <c r="AJ15" s="8" t="s">
        <v>27</v>
      </c>
      <c r="AK15" s="8" t="s">
        <v>28</v>
      </c>
      <c r="AL15" s="5" t="s">
        <v>2</v>
      </c>
      <c r="AM15" s="5" t="s">
        <v>30</v>
      </c>
    </row>
    <row r="16" spans="1:41" x14ac:dyDescent="0.15">
      <c r="B16" s="5">
        <v>1</v>
      </c>
      <c r="C16" s="16" t="str">
        <f>IF(C$14="","",LEFT(基本設定!E4,1))</f>
        <v/>
      </c>
      <c r="D16" s="16" t="str">
        <f>IF(D$14="","",LEFT(基本設定!F4,1))</f>
        <v/>
      </c>
      <c r="E16" s="16" t="str">
        <f>IF(E$14=3,"憲",IF(E$14=4,"み",IF(E$14=5,"こ",IF(E$14="","",LEFT(基本設定!G4,1)))))</f>
        <v/>
      </c>
      <c r="F16" s="16" t="str">
        <f>IF(F$14=3,"憲",IF(F$14=4,"み",IF(F$14=5,"こ",IF(F$14="","",LEFT(基本設定!H4,1)))))</f>
        <v/>
      </c>
      <c r="G16" s="16" t="str">
        <f>IF(G$14=3,"憲",IF(G$14=4,"み",IF(G$14=5,"こ",IF(G$14="","",LEFT(基本設定!I4,1)))))</f>
        <v/>
      </c>
      <c r="H16" s="18" t="str">
        <f>IF(H$14=3,"憲",IF(H$14=4,"み",IF(H$14=5,"こ","")))</f>
        <v/>
      </c>
      <c r="I16" s="18" t="str">
        <f>IF(I$14=3,"憲",IF(I$14=4,"み",IF(I$14=5,"こ","")))</f>
        <v/>
      </c>
      <c r="J16" s="16" t="str">
        <f>IF(J$14=3,"憲",IF(J$14=4,"み",IF(J$14=5,"こ",IF(J$14=6,"",IF(J$14="","",LEFT(基本設定!E4,1))))))</f>
        <v>−</v>
      </c>
      <c r="K16" s="16" t="str">
        <f>IF(K$14=3,"憲",IF(K$14=4,"み",IF(K$14=5,"こ",IF(K$14=6,"",IF(K$14="","",LEFT(基本設定!F4,1))))))</f>
        <v>憲</v>
      </c>
      <c r="L16" s="16" t="str">
        <f>IF(L$14=3,"憲",IF(L$14=4,"み",IF(L$14=5,"こ",IF(L$14=6,"",IF(L$14="","",LEFT(基本設定!G4,1))))))</f>
        <v>み</v>
      </c>
      <c r="M16" s="16" t="str">
        <f>IF(M$14=3,"憲",IF(M$14=4,"み",IF(M$14=5,"こ",IF(M$14="","",LEFT(基本設定!H4,1)))))</f>
        <v>こ</v>
      </c>
      <c r="N16" s="16" t="str">
        <f>IF(N$14=3,"憲",IF(N$14=4,"み",IF(N$14=5,"こ",IF(N$14="","",LEFT(基本設定!I4,1)))))</f>
        <v>−</v>
      </c>
      <c r="O16" s="18"/>
      <c r="P16" s="18"/>
      <c r="Q16" s="16" t="str">
        <f>LEFT(基本設定!E4,1)</f>
        <v>−</v>
      </c>
      <c r="R16" s="16" t="str">
        <f>LEFT(基本設定!F4,1)</f>
        <v>−</v>
      </c>
      <c r="S16" s="16" t="str">
        <f>LEFT(基本設定!G4,1)</f>
        <v>−</v>
      </c>
      <c r="T16" s="16" t="str">
        <f>LEFT(基本設定!H4,1)</f>
        <v>−</v>
      </c>
      <c r="U16" s="16" t="str">
        <f>LEFT(基本設定!I4,1)</f>
        <v>−</v>
      </c>
      <c r="V16" s="18"/>
      <c r="W16" s="18"/>
      <c r="X16" s="16" t="str">
        <f>LEFT(基本設定!E4,1)</f>
        <v>−</v>
      </c>
      <c r="Y16" s="16" t="str">
        <f>LEFT(基本設定!F4,1)</f>
        <v>−</v>
      </c>
      <c r="Z16" s="16" t="str">
        <f>LEFT(基本設定!G4,1)</f>
        <v>−</v>
      </c>
      <c r="AA16" s="16" t="str">
        <f>LEFT(基本設定!H4,1)</f>
        <v>−</v>
      </c>
      <c r="AB16" s="16" t="str">
        <f>LEFT(基本設定!I4,1)</f>
        <v>−</v>
      </c>
      <c r="AC16" s="18"/>
      <c r="AD16" s="18"/>
      <c r="AE16" s="16" t="str">
        <f>LEFT(基本設定!E4,1)</f>
        <v>−</v>
      </c>
      <c r="AF16" s="16" t="str">
        <f>LEFT(基本設定!F4,1)</f>
        <v>−</v>
      </c>
      <c r="AG16" s="16" t="str">
        <f>IF(AG$14="","",LEFT(基本設定!G4,1))</f>
        <v>−</v>
      </c>
      <c r="AH16" s="16" t="str">
        <f>IF(AH$14="","",LEFT(基本設定!H4,1))</f>
        <v>−</v>
      </c>
      <c r="AI16" s="16" t="str">
        <f>IF(AI$14="","",LEFT(基本設定!I4,1))</f>
        <v>−</v>
      </c>
      <c r="AJ16" s="18"/>
      <c r="AK16" s="18"/>
      <c r="AL16" s="16" t="str">
        <f>IF(AL$14="","",LEFT(基本設定!E4,1))</f>
        <v>−</v>
      </c>
      <c r="AM16" s="16" t="str">
        <f>IF(AM$14="","",LEFT(基本設定!F4,1))</f>
        <v>−</v>
      </c>
    </row>
    <row r="17" spans="2:39" x14ac:dyDescent="0.15">
      <c r="B17" s="5">
        <v>2</v>
      </c>
      <c r="C17" s="16" t="str">
        <f>IF(C$14="","",LEFT(基本設定!E5,1))</f>
        <v/>
      </c>
      <c r="D17" s="16" t="str">
        <f>IF(D$14="","",LEFT(基本設定!F5,1))</f>
        <v/>
      </c>
      <c r="E17" s="16" t="str">
        <f>IF(E$14=3,"法",IF(E$14=4,"ど",IF(E$14=5,"ど",IF(E$14="","",LEFT(基本設定!G5,1)))))</f>
        <v/>
      </c>
      <c r="F17" s="16" t="str">
        <f>IF(F$14=3,"法",IF(F$14=4,"ど",IF(F$14=5,"ど",IF(F$14="","",LEFT(基本設定!H5,1)))))</f>
        <v/>
      </c>
      <c r="G17" s="16" t="str">
        <f>IF(G$14=3,"法",IF(G$14=4,"ど",IF(G$14=5,"ど",IF(G$14="","",LEFT(基本設定!I5,1)))))</f>
        <v/>
      </c>
      <c r="H17" s="18" t="str">
        <f>IF(H$14=3,"法",IF(H$14=4,"ど",IF(H$14=5,"ど","")))</f>
        <v/>
      </c>
      <c r="I17" s="18" t="str">
        <f>IF(I$14=3,"法",IF(I$14=4,"ど",IF(I$14=5,"ど","")))</f>
        <v/>
      </c>
      <c r="J17" s="16" t="str">
        <f>IF(J$14=3,"法",IF(J$14=4,"ど",IF(J$14=5,"ど",IF(J$14=6,"休",IF(J$14="","",LEFT(基本設定!E5,1))))))</f>
        <v>−</v>
      </c>
      <c r="K17" s="16" t="str">
        <f>IF(K$14=3,"法",IF(K$14=4,"ど",IF(K$14=5,"ど",IF(K$14=6,"休",IF(K$14="","",LEFT(基本設定!F5,1))))))</f>
        <v>法</v>
      </c>
      <c r="L17" s="16" t="str">
        <f>IF(L$14=3,"法",IF(L$14=4,"ど",IF(L$14=5,"ど",IF(L$14=6,"休",IF(L$14="","",LEFT(基本設定!G5,1))))))</f>
        <v>ど</v>
      </c>
      <c r="M17" s="16" t="str">
        <f>IF(M$14=3,"法",IF(M$14=4,"ど",IF(M$14=5,"ど",IF(M$14="","",LEFT(基本設定!H5,1)))))</f>
        <v>ど</v>
      </c>
      <c r="N17" s="16" t="str">
        <f>IF(N$14=3,"法",IF(N$14=4,"ど",IF(N$14=5,"ど",IF(N$14="","",LEFT(基本設定!I5,1)))))</f>
        <v>−</v>
      </c>
      <c r="O17" s="18"/>
      <c r="P17" s="18"/>
      <c r="Q17" s="16" t="str">
        <f>LEFT(基本設定!E5,1)</f>
        <v>−</v>
      </c>
      <c r="R17" s="16" t="str">
        <f>LEFT(基本設定!F5,1)</f>
        <v>−</v>
      </c>
      <c r="S17" s="16" t="str">
        <f>LEFT(基本設定!G5,1)</f>
        <v>−</v>
      </c>
      <c r="T17" s="16" t="str">
        <f>LEFT(基本設定!H5,1)</f>
        <v>−</v>
      </c>
      <c r="U17" s="16" t="str">
        <f>LEFT(基本設定!I5,1)</f>
        <v>−</v>
      </c>
      <c r="V17" s="18"/>
      <c r="W17" s="18"/>
      <c r="X17" s="16" t="str">
        <f>LEFT(基本設定!E5,1)</f>
        <v>−</v>
      </c>
      <c r="Y17" s="16" t="str">
        <f>LEFT(基本設定!F5,1)</f>
        <v>−</v>
      </c>
      <c r="Z17" s="16" t="str">
        <f>LEFT(基本設定!G5,1)</f>
        <v>−</v>
      </c>
      <c r="AA17" s="16" t="str">
        <f>LEFT(基本設定!H5,1)</f>
        <v>−</v>
      </c>
      <c r="AB17" s="16" t="str">
        <f>LEFT(基本設定!I5,1)</f>
        <v>−</v>
      </c>
      <c r="AC17" s="18"/>
      <c r="AD17" s="18"/>
      <c r="AE17" s="16" t="str">
        <f>LEFT(基本設定!E5,1)</f>
        <v>−</v>
      </c>
      <c r="AF17" s="16" t="str">
        <f>LEFT(基本設定!F5,1)</f>
        <v>−</v>
      </c>
      <c r="AG17" s="16" t="str">
        <f>IF(AG$14="","",LEFT(基本設定!G5,1))</f>
        <v>−</v>
      </c>
      <c r="AH17" s="16" t="str">
        <f>IF(AH$14="","",LEFT(基本設定!H5,1))</f>
        <v>−</v>
      </c>
      <c r="AI17" s="16" t="str">
        <f>IF(AI$14="","",LEFT(基本設定!I5,1))</f>
        <v>−</v>
      </c>
      <c r="AJ17" s="18"/>
      <c r="AK17" s="18"/>
      <c r="AL17" s="16" t="str">
        <f>IF(AL$14="","",LEFT(基本設定!E5,1))</f>
        <v>−</v>
      </c>
      <c r="AM17" s="16" t="str">
        <f>IF(AM$14="","",LEFT(基本設定!F5,1))</f>
        <v>−</v>
      </c>
    </row>
    <row r="18" spans="2:39" x14ac:dyDescent="0.15">
      <c r="B18" s="5">
        <v>3</v>
      </c>
      <c r="C18" s="16" t="str">
        <f>IF(C$14="","",LEFT(基本設定!E6,1))</f>
        <v/>
      </c>
      <c r="D18" s="16" t="str">
        <f>IF(D$14="","",LEFT(基本設定!F6,1))</f>
        <v/>
      </c>
      <c r="E18" s="16" t="str">
        <f>IF(E$14=3,"記",IF(E$14=4,"り",IF(E$14=5,"も",IF(E$14="","",LEFT(基本設定!G6,1)))))</f>
        <v/>
      </c>
      <c r="F18" s="16" t="str">
        <f>IF(F$14=3,"記",IF(F$14=4,"り",IF(F$14=5,"も",IF(F$14="","",LEFT(基本設定!H6,1)))))</f>
        <v/>
      </c>
      <c r="G18" s="16" t="str">
        <f>IF(G$14=3,"記",IF(G$14=4,"り",IF(G$14=5,"も",IF(G$14="","",LEFT(基本設定!I6,1)))))</f>
        <v/>
      </c>
      <c r="H18" s="18" t="str">
        <f>IF(H$14=3,"記",IF(H$14=4,"り",IF(H$14=5,"も","")))</f>
        <v/>
      </c>
      <c r="I18" s="18" t="str">
        <f>IF(I$14=3,"記",IF(I$14=4,"り",IF(I$14=5,"も","")))</f>
        <v/>
      </c>
      <c r="J18" s="16" t="str">
        <f>IF(J$14=3,"記",IF(J$14=4,"り",IF(J$14=5,"も",IF(J$14=6,"",IF(J$14="","",LEFT(基本設定!E6,1))))))</f>
        <v>−</v>
      </c>
      <c r="K18" s="16" t="str">
        <f>IF(K$14=3,"記",IF(K$14=4,"り",IF(K$14=5,"も",IF(K$14=6,"",IF(K$14="","",LEFT(基本設定!F6,1))))))</f>
        <v>記</v>
      </c>
      <c r="L18" s="16" t="str">
        <f>IF(L$14=3,"記",IF(L$14=4,"り",IF(L$14=5,"も",IF(L$14=6,"",IF(L$14="","",LEFT(基本設定!G6,1))))))</f>
        <v>り</v>
      </c>
      <c r="M18" s="16" t="str">
        <f>IF(M$14=3,"記",IF(M$14=4,"り",IF(M$14=5,"も",IF(M$14="","",LEFT(基本設定!H6,1)))))</f>
        <v>も</v>
      </c>
      <c r="N18" s="16" t="str">
        <f>IF(N$14=3,"記",IF(N$14=4,"り",IF(N$14=5,"も",IF(N$14="","",LEFT(基本設定!I6,1)))))</f>
        <v>−</v>
      </c>
      <c r="O18" s="18"/>
      <c r="P18" s="18"/>
      <c r="Q18" s="16" t="str">
        <f>LEFT(基本設定!E6,1)</f>
        <v>−</v>
      </c>
      <c r="R18" s="16" t="str">
        <f>LEFT(基本設定!F6,1)</f>
        <v>−</v>
      </c>
      <c r="S18" s="16" t="str">
        <f>LEFT(基本設定!G6,1)</f>
        <v>−</v>
      </c>
      <c r="T18" s="16" t="str">
        <f>LEFT(基本設定!H6,1)</f>
        <v>−</v>
      </c>
      <c r="U18" s="16" t="str">
        <f>LEFT(基本設定!I6,1)</f>
        <v>−</v>
      </c>
      <c r="V18" s="18"/>
      <c r="W18" s="18"/>
      <c r="X18" s="16" t="str">
        <f>LEFT(基本設定!E6,1)</f>
        <v>−</v>
      </c>
      <c r="Y18" s="16" t="str">
        <f>LEFT(基本設定!F6,1)</f>
        <v>−</v>
      </c>
      <c r="Z18" s="16" t="str">
        <f>LEFT(基本設定!G6,1)</f>
        <v>−</v>
      </c>
      <c r="AA18" s="16" t="str">
        <f>LEFT(基本設定!H6,1)</f>
        <v>−</v>
      </c>
      <c r="AB18" s="16" t="str">
        <f>LEFT(基本設定!I6,1)</f>
        <v>−</v>
      </c>
      <c r="AC18" s="18"/>
      <c r="AD18" s="18"/>
      <c r="AE18" s="16" t="str">
        <f>LEFT(基本設定!E6,1)</f>
        <v>−</v>
      </c>
      <c r="AF18" s="16" t="str">
        <f>LEFT(基本設定!F6,1)</f>
        <v>−</v>
      </c>
      <c r="AG18" s="16" t="str">
        <f>IF(AG$14="","",LEFT(基本設定!G6,1))</f>
        <v>−</v>
      </c>
      <c r="AH18" s="16" t="str">
        <f>IF(AH$14="","",LEFT(基本設定!H6,1))</f>
        <v>−</v>
      </c>
      <c r="AI18" s="16" t="str">
        <f>IF(AI$14="","",LEFT(基本設定!I6,1))</f>
        <v>−</v>
      </c>
      <c r="AJ18" s="18"/>
      <c r="AK18" s="18"/>
      <c r="AL18" s="16" t="str">
        <f>IF(AL$14="","",LEFT(基本設定!E6,1))</f>
        <v>−</v>
      </c>
      <c r="AM18" s="16" t="str">
        <f>IF(AM$14="","",LEFT(基本設定!F6,1))</f>
        <v>−</v>
      </c>
    </row>
    <row r="19" spans="2:39" x14ac:dyDescent="0.15">
      <c r="B19" s="5">
        <v>4</v>
      </c>
      <c r="C19" s="16" t="str">
        <f>IF(C$14="","",LEFT(基本設定!E7,1))</f>
        <v/>
      </c>
      <c r="D19" s="16" t="str">
        <f>IF(D$14="","",LEFT(基本設定!F7,1))</f>
        <v/>
      </c>
      <c r="E19" s="16" t="str">
        <f>IF(E$14=3,"念",IF(E$14=4,"の",IF(E$14=5,"の",IF(E$14="","",LEFT(基本設定!G7,1)))))</f>
        <v/>
      </c>
      <c r="F19" s="16" t="str">
        <f>IF(F$14=3,"念",IF(F$14=4,"の",IF(F$14=5,"の",IF(F$14="","",LEFT(基本設定!H7,1)))))</f>
        <v/>
      </c>
      <c r="G19" s="16" t="str">
        <f>IF(G$14=3,"念",IF(G$14=4,"の",IF(G$14=5,"の",IF(G$14="","",LEFT(基本設定!I7,1)))))</f>
        <v/>
      </c>
      <c r="H19" s="18" t="str">
        <f>IF(H$14=3,"念",IF(H$14=4,"の",IF(H$14=5,"の","")))</f>
        <v/>
      </c>
      <c r="I19" s="18" t="str">
        <f>IF(I$14=3,"念",IF(I$14=4,"の",IF(I$14=5,"の","")))</f>
        <v/>
      </c>
      <c r="J19" s="16" t="str">
        <f>IF(J$14=3,"念",IF(J$14=4,"の",IF(J$14=5,"の",IF(J$14=6,"日",IF(J$14="","",LEFT(基本設定!E7,1))))))</f>
        <v>−</v>
      </c>
      <c r="K19" s="16" t="str">
        <f>IF(K$14=3,"念",IF(K$14=4,"の",IF(K$14=5,"の",IF(K$14=6,"日",IF(K$14="","",LEFT(基本設定!F7,1))))))</f>
        <v>念</v>
      </c>
      <c r="L19" s="16" t="str">
        <f>IF(L$14=3,"念",IF(L$14=4,"の",IF(L$14=5,"の",IF(L$14=6,"日",IF(L$14="","",LEFT(基本設定!G7,1))))))</f>
        <v>の</v>
      </c>
      <c r="M19" s="16" t="str">
        <f>IF(M$14=3,"念",IF(M$14=4,"の",IF(M$14=5,"の",IF(M$14="","",LEFT(基本設定!H7,1)))))</f>
        <v>の</v>
      </c>
      <c r="N19" s="16" t="str">
        <f>IF(N$14=3,"念",IF(N$14=4,"の",IF(N$14=5,"の",IF(N$14="","",LEFT(基本設定!I7,1)))))</f>
        <v>−</v>
      </c>
      <c r="O19" s="18"/>
      <c r="P19" s="18"/>
      <c r="Q19" s="16" t="str">
        <f>LEFT(基本設定!E7,1)</f>
        <v>−</v>
      </c>
      <c r="R19" s="16" t="str">
        <f>LEFT(基本設定!F7,1)</f>
        <v>−</v>
      </c>
      <c r="S19" s="16" t="str">
        <f>LEFT(基本設定!G7,1)</f>
        <v>−</v>
      </c>
      <c r="T19" s="16" t="str">
        <f>LEFT(基本設定!H7,1)</f>
        <v>−</v>
      </c>
      <c r="U19" s="16" t="str">
        <f>LEFT(基本設定!I7,1)</f>
        <v>−</v>
      </c>
      <c r="V19" s="18"/>
      <c r="W19" s="18"/>
      <c r="X19" s="16" t="str">
        <f>LEFT(基本設定!E7,1)</f>
        <v>−</v>
      </c>
      <c r="Y19" s="16" t="str">
        <f>LEFT(基本設定!F7,1)</f>
        <v>−</v>
      </c>
      <c r="Z19" s="16" t="str">
        <f>LEFT(基本設定!G7,1)</f>
        <v>−</v>
      </c>
      <c r="AA19" s="16" t="str">
        <f>LEFT(基本設定!H7,1)</f>
        <v>−</v>
      </c>
      <c r="AB19" s="16" t="str">
        <f>LEFT(基本設定!I7,1)</f>
        <v>−</v>
      </c>
      <c r="AC19" s="18"/>
      <c r="AD19" s="18"/>
      <c r="AE19" s="16" t="str">
        <f>LEFT(基本設定!E7,1)</f>
        <v>−</v>
      </c>
      <c r="AF19" s="16" t="str">
        <f>LEFT(基本設定!F7,1)</f>
        <v>−</v>
      </c>
      <c r="AG19" s="16" t="str">
        <f>IF(AG$14="","",LEFT(基本設定!G7,1))</f>
        <v>−</v>
      </c>
      <c r="AH19" s="16" t="str">
        <f>IF(AH$14="","",LEFT(基本設定!H7,1))</f>
        <v>−</v>
      </c>
      <c r="AI19" s="16" t="str">
        <f>IF(AI$14="","",LEFT(基本設定!I7,1))</f>
        <v>−</v>
      </c>
      <c r="AJ19" s="18"/>
      <c r="AK19" s="18"/>
      <c r="AL19" s="16" t="str">
        <f>IF(AL$14="","",LEFT(基本設定!E7,1))</f>
        <v>−</v>
      </c>
      <c r="AM19" s="16" t="str">
        <f>IF(AM$14="","",LEFT(基本設定!F7,1))</f>
        <v>−</v>
      </c>
    </row>
    <row r="20" spans="2:39" x14ac:dyDescent="0.15">
      <c r="B20" s="5">
        <v>5</v>
      </c>
      <c r="C20" s="16" t="str">
        <f>IF(C$14="","",LEFT(基本設定!E8,1))</f>
        <v/>
      </c>
      <c r="D20" s="16" t="str">
        <f>IF(D$14="","",LEFT(基本設定!F8,1))</f>
        <v/>
      </c>
      <c r="E20" s="16" t="str">
        <f>IF(E$14=3,"日",IF(E$14=4,"日",IF(E$14=5,"日",IF(E$14="","",LEFT(基本設定!G8,1)))))</f>
        <v/>
      </c>
      <c r="F20" s="16" t="str">
        <f>IF(F$14=3,"日",IF(F$14=4,"日",IF(F$14=5,"日",IF(F$14="","",LEFT(基本設定!H8,1)))))</f>
        <v/>
      </c>
      <c r="G20" s="16" t="str">
        <f>IF(G$14=3,"日",IF(G$14=4,"日",IF(G$14=5,"日",IF(G$14="","",LEFT(基本設定!I8,1)))))</f>
        <v/>
      </c>
      <c r="H20" s="18" t="str">
        <f>IF(H$14=3,"日",IF(H$14=4,"日",IF(H$14=5,"日","")))</f>
        <v/>
      </c>
      <c r="I20" s="18" t="str">
        <f>IF(I$14=3,"日",IF(I$14=4,"日",IF(I$14=5,"日","")))</f>
        <v/>
      </c>
      <c r="J20" s="16" t="str">
        <f>IF(J$14=3,"日",IF(J$14=4,"日",IF(J$14=5,"日",IF(J$14=6,"",IF(J$14="","",LEFT(基本設定!E8,1))))))</f>
        <v>−</v>
      </c>
      <c r="K20" s="16" t="str">
        <f>IF(K$14=3,"日",IF(K$14=4,"日",IF(K$14=5,"日",IF(K$14=6,"",IF(K$14="","",LEFT(基本設定!F8,1))))))</f>
        <v>日</v>
      </c>
      <c r="L20" s="16" t="str">
        <f>IF(L$14=3,"日",IF(L$14=4,"日",IF(L$14=5,"日",IF(L$14=6,"",IF(L$14="","",LEFT(基本設定!G8,1))))))</f>
        <v>日</v>
      </c>
      <c r="M20" s="16" t="str">
        <f>IF(M$14=3,"日",IF(M$14=4,"日",IF(M$14=5,"日",IF(M$14="","",LEFT(基本設定!H8,1)))))</f>
        <v>日</v>
      </c>
      <c r="N20" s="16" t="str">
        <f>IF(N$14=3,"日",IF(N$14=4,"日",IF(N$14=5,"日",IF(N$14="","",LEFT(基本設定!I8,1)))))</f>
        <v>−</v>
      </c>
      <c r="O20" s="18"/>
      <c r="P20" s="18"/>
      <c r="Q20" s="16" t="str">
        <f>LEFT(基本設定!E8,1)</f>
        <v>−</v>
      </c>
      <c r="R20" s="16" t="str">
        <f>LEFT(基本設定!F8,1)</f>
        <v>−</v>
      </c>
      <c r="S20" s="16" t="str">
        <f>LEFT(基本設定!G8,1)</f>
        <v>−</v>
      </c>
      <c r="T20" s="16" t="str">
        <f>LEFT(基本設定!H8,1)</f>
        <v>−</v>
      </c>
      <c r="U20" s="16" t="str">
        <f>LEFT(基本設定!I8,1)</f>
        <v>−</v>
      </c>
      <c r="V20" s="18"/>
      <c r="W20" s="18"/>
      <c r="X20" s="16" t="str">
        <f>LEFT(基本設定!E8,1)</f>
        <v>−</v>
      </c>
      <c r="Y20" s="16" t="str">
        <f>LEFT(基本設定!F8,1)</f>
        <v>−</v>
      </c>
      <c r="Z20" s="16" t="str">
        <f>LEFT(基本設定!G8,1)</f>
        <v>−</v>
      </c>
      <c r="AA20" s="16" t="str">
        <f>LEFT(基本設定!H8,1)</f>
        <v>−</v>
      </c>
      <c r="AB20" s="16" t="str">
        <f>LEFT(基本設定!I8,1)</f>
        <v>−</v>
      </c>
      <c r="AC20" s="18"/>
      <c r="AD20" s="18"/>
      <c r="AE20" s="16" t="str">
        <f>LEFT(基本設定!E8,1)</f>
        <v>−</v>
      </c>
      <c r="AF20" s="16" t="str">
        <f>LEFT(基本設定!F8,1)</f>
        <v>−</v>
      </c>
      <c r="AG20" s="16" t="str">
        <f>IF(AG$14="","",LEFT(基本設定!G8,1))</f>
        <v>−</v>
      </c>
      <c r="AH20" s="16" t="str">
        <f>IF(AH$14="","",LEFT(基本設定!H8,1))</f>
        <v>−</v>
      </c>
      <c r="AI20" s="16" t="str">
        <f>IF(AI$14="","",LEFT(基本設定!I8,1))</f>
        <v>−</v>
      </c>
      <c r="AJ20" s="18"/>
      <c r="AK20" s="18"/>
      <c r="AL20" s="16" t="str">
        <f>IF(AL$14="","",LEFT(基本設定!E8,1))</f>
        <v>−</v>
      </c>
      <c r="AM20" s="16" t="str">
        <f>IF(AM$14="","",LEFT(基本設定!F8,1))</f>
        <v>−</v>
      </c>
    </row>
    <row r="21" spans="2:39" x14ac:dyDescent="0.15">
      <c r="B21" s="5">
        <v>6</v>
      </c>
      <c r="C21" s="16" t="str">
        <f>IF(C$14="","",LEFT(基本設定!E9,1))</f>
        <v/>
      </c>
      <c r="D21" s="16" t="str">
        <f>IF(D$14="","",LEFT(基本設定!F9,1))</f>
        <v/>
      </c>
      <c r="E21" s="16" t="str">
        <f>IF(E$14=3,"",IF(E$14=4,"",IF(E$14=5,"",IF(E$14="","",LEFT(基本設定!G9,1)))))</f>
        <v/>
      </c>
      <c r="F21" s="16" t="str">
        <f>IF(F$14=3,"",IF(F$14=4,"",IF(F$14=5,"",IF(F$14="","",LEFT(基本設定!H9,1)))))</f>
        <v/>
      </c>
      <c r="G21" s="16" t="str">
        <f>IF(G$14=3,"",IF(G$14=4,"",IF(G$14=5,"",IF(G$14="","",LEFT(基本設定!I9,1)))))</f>
        <v/>
      </c>
      <c r="H21" s="18" t="str">
        <f>IF(H$14=3,"",IF(H$14=4,"",IF(H$14=5,"","")))</f>
        <v/>
      </c>
      <c r="I21" s="18" t="str">
        <f>IF(I$14=3,"",IF(I$14=4,"",IF(I$14=5,"","")))</f>
        <v/>
      </c>
      <c r="J21" s="16" t="str">
        <f>IF(J$14=3,"",IF(J$14=4,"",IF(J$14=5,"",IF(J$14=6,"",IF(J$14="","",LEFT(基本設定!E9,1))))))</f>
        <v>−</v>
      </c>
      <c r="K21" s="16" t="str">
        <f>IF(K$14=3,"",IF(K$14=4,"",IF(K$14=5,"",IF(K$14=6,"",IF(K$14="","",LEFT(基本設定!F9,1))))))</f>
        <v/>
      </c>
      <c r="L21" s="16" t="str">
        <f>IF(L$14=3,"",IF(L$14=4,"",IF(L$14=5,"",IF(L$14=6,"",IF(L$14="","",LEFT(基本設定!G9,1))))))</f>
        <v/>
      </c>
      <c r="M21" s="16" t="str">
        <f>IF(M$14=3,"",IF(M$14=4,"",IF(M$14=5,"",IF(M$14="","",LEFT(基本設定!H9,1)))))</f>
        <v/>
      </c>
      <c r="N21" s="16" t="str">
        <f>IF(N$14=3,"",IF(N$14=4,"",IF(N$14=5,"",IF(N$14="","",LEFT(基本設定!I9,1)))))</f>
        <v>−</v>
      </c>
      <c r="O21" s="18"/>
      <c r="P21" s="18"/>
      <c r="Q21" s="16" t="str">
        <f>LEFT(基本設定!E9,1)</f>
        <v>−</v>
      </c>
      <c r="R21" s="16" t="str">
        <f>LEFT(基本設定!F9,1)</f>
        <v>−</v>
      </c>
      <c r="S21" s="16" t="str">
        <f>LEFT(基本設定!G9,1)</f>
        <v>−</v>
      </c>
      <c r="T21" s="16" t="str">
        <f>LEFT(基本設定!H9,1)</f>
        <v>−</v>
      </c>
      <c r="U21" s="16" t="str">
        <f>LEFT(基本設定!I9,1)</f>
        <v>−</v>
      </c>
      <c r="V21" s="18"/>
      <c r="W21" s="18"/>
      <c r="X21" s="16" t="str">
        <f>LEFT(基本設定!E9,1)</f>
        <v>−</v>
      </c>
      <c r="Y21" s="16" t="str">
        <f>LEFT(基本設定!F9,1)</f>
        <v>−</v>
      </c>
      <c r="Z21" s="16" t="str">
        <f>LEFT(基本設定!G9,1)</f>
        <v>−</v>
      </c>
      <c r="AA21" s="16" t="str">
        <f>LEFT(基本設定!H9,1)</f>
        <v>−</v>
      </c>
      <c r="AB21" s="16" t="str">
        <f>LEFT(基本設定!I9,1)</f>
        <v>−</v>
      </c>
      <c r="AC21" s="18"/>
      <c r="AD21" s="18"/>
      <c r="AE21" s="16" t="str">
        <f>LEFT(基本設定!E9,1)</f>
        <v>−</v>
      </c>
      <c r="AF21" s="16" t="str">
        <f>LEFT(基本設定!F9,1)</f>
        <v>−</v>
      </c>
      <c r="AG21" s="16" t="str">
        <f>IF(AG$14="","",LEFT(基本設定!G9,1))</f>
        <v>−</v>
      </c>
      <c r="AH21" s="16" t="str">
        <f>IF(AH$14="","",LEFT(基本設定!H9,1))</f>
        <v>−</v>
      </c>
      <c r="AI21" s="16" t="str">
        <f>IF(AI$14="","",LEFT(基本設定!I9,1))</f>
        <v>−</v>
      </c>
      <c r="AJ21" s="18"/>
      <c r="AK21" s="18"/>
      <c r="AL21" s="16" t="str">
        <f>IF(AL$14="","",LEFT(基本設定!E9,1))</f>
        <v>−</v>
      </c>
      <c r="AM21" s="16" t="str">
        <f>IF(AM$14="","",LEFT(基本設定!F9,1))</f>
        <v>−</v>
      </c>
    </row>
    <row r="23" spans="2:39" x14ac:dyDescent="0.15">
      <c r="B23" s="9">
        <v>6</v>
      </c>
      <c r="C23" s="10" t="s">
        <v>31</v>
      </c>
    </row>
    <row r="24" spans="2:39" x14ac:dyDescent="0.15">
      <c r="B24" s="5"/>
      <c r="C24" s="5" t="str">
        <f>IF(WEEKDAY(DATE($C$1+1988,$B$23,1),2)=1,1,"")</f>
        <v/>
      </c>
      <c r="D24" s="5" t="str">
        <f>IF(C24="",IF(WEEKDAY(DATE($C$1+1988,$B$23,1),2)=2,1,""),C24+1)</f>
        <v/>
      </c>
      <c r="E24" s="5">
        <f>IF(D24="",IF(WEEKDAY(DATE($C$1+1988,$B$23,1),2)=3,1,""),D24+1)</f>
        <v>1</v>
      </c>
      <c r="F24" s="5">
        <f>IF(E24="",IF(WEEKDAY(DATE($C$1+1988,$B$23,1),2)=4,1,""),E24+1)</f>
        <v>2</v>
      </c>
      <c r="G24" s="5">
        <f>IF(F24="",IF(WEEKDAY(DATE($C$1+1988,$B$23,1),2)=5,1,""),F24+1)</f>
        <v>3</v>
      </c>
      <c r="H24" s="8">
        <f>IF(G24="",IF(WEEKDAY(DATE($C$1+1988,$B$23,1),2)=6,1,""),G24+1)</f>
        <v>4</v>
      </c>
      <c r="I24" s="8">
        <f>IF(H24="",IF(WEEKDAY(DATE($C$1+1988,$B$23,1),2)=7,1,""),H24+1)</f>
        <v>5</v>
      </c>
      <c r="J24" s="5">
        <f>I24+1</f>
        <v>6</v>
      </c>
      <c r="K24" s="5">
        <f t="shared" ref="K24" si="25">J24+1</f>
        <v>7</v>
      </c>
      <c r="L24" s="5">
        <f t="shared" ref="L24" si="26">K24+1</f>
        <v>8</v>
      </c>
      <c r="M24" s="5">
        <f t="shared" ref="M24" si="27">L24+1</f>
        <v>9</v>
      </c>
      <c r="N24" s="5">
        <f t="shared" ref="N24" si="28">M24+1</f>
        <v>10</v>
      </c>
      <c r="O24" s="8">
        <f t="shared" ref="O24" si="29">N24+1</f>
        <v>11</v>
      </c>
      <c r="P24" s="8">
        <f t="shared" ref="P24" si="30">O24+1</f>
        <v>12</v>
      </c>
      <c r="Q24" s="5">
        <f t="shared" ref="Q24" si="31">P24+1</f>
        <v>13</v>
      </c>
      <c r="R24" s="5">
        <f t="shared" ref="R24" si="32">Q24+1</f>
        <v>14</v>
      </c>
      <c r="S24" s="5">
        <f t="shared" ref="S24" si="33">R24+1</f>
        <v>15</v>
      </c>
      <c r="T24" s="5">
        <f t="shared" ref="T24" si="34">S24+1</f>
        <v>16</v>
      </c>
      <c r="U24" s="5">
        <f t="shared" ref="U24" si="35">T24+1</f>
        <v>17</v>
      </c>
      <c r="V24" s="8">
        <f t="shared" ref="V24" si="36">U24+1</f>
        <v>18</v>
      </c>
      <c r="W24" s="8">
        <f t="shared" ref="W24" si="37">V24+1</f>
        <v>19</v>
      </c>
      <c r="X24" s="5">
        <f t="shared" ref="X24" si="38">W24+1</f>
        <v>20</v>
      </c>
      <c r="Y24" s="5">
        <f t="shared" ref="Y24" si="39">X24+1</f>
        <v>21</v>
      </c>
      <c r="Z24" s="5">
        <f t="shared" ref="Z24" si="40">Y24+1</f>
        <v>22</v>
      </c>
      <c r="AA24" s="5">
        <f t="shared" ref="AA24" si="41">Z24+1</f>
        <v>23</v>
      </c>
      <c r="AB24" s="5">
        <f t="shared" ref="AB24" si="42">AA24+1</f>
        <v>24</v>
      </c>
      <c r="AC24" s="8">
        <f t="shared" ref="AC24" si="43">AB24+1</f>
        <v>25</v>
      </c>
      <c r="AD24" s="8">
        <f t="shared" ref="AD24" si="44">AC24+1</f>
        <v>26</v>
      </c>
      <c r="AE24" s="5">
        <f t="shared" ref="AE24" si="45">AD24+1</f>
        <v>27</v>
      </c>
      <c r="AF24" s="5">
        <f>IFERROR(IF(AE24=30,"",AE24+1),"")</f>
        <v>28</v>
      </c>
      <c r="AG24" s="5">
        <f t="shared" ref="AG24" si="46">IFERROR(IF(AF24=30,"",AF24+1),"")</f>
        <v>29</v>
      </c>
      <c r="AH24" s="5">
        <f t="shared" ref="AH24" si="47">IFERROR(IF(AG24=30,"",AG24+1),"")</f>
        <v>30</v>
      </c>
      <c r="AI24" s="5" t="str">
        <f>IFERROR(IF(AH24=30,"",AH24+1),"")</f>
        <v/>
      </c>
      <c r="AJ24" s="8" t="str">
        <f t="shared" ref="AJ24" si="48">IFERROR(IF(AI24=30,"",AI24+1),"")</f>
        <v/>
      </c>
      <c r="AK24" s="8" t="str">
        <f t="shared" ref="AK24" si="49">IFERROR(IF(AJ24=30,"",AJ24+1),"")</f>
        <v/>
      </c>
      <c r="AL24" s="5" t="str">
        <f t="shared" ref="AL24" si="50">IFERROR(IF(AK24=30,"",AK24+1),"")</f>
        <v/>
      </c>
    </row>
    <row r="25" spans="2:39" x14ac:dyDescent="0.15">
      <c r="B25" s="5" t="s">
        <v>29</v>
      </c>
      <c r="C25" s="5" t="s">
        <v>3</v>
      </c>
      <c r="D25" s="5" t="s">
        <v>22</v>
      </c>
      <c r="E25" s="5" t="s">
        <v>23</v>
      </c>
      <c r="F25" s="5" t="s">
        <v>24</v>
      </c>
      <c r="G25" s="5" t="s">
        <v>25</v>
      </c>
      <c r="H25" s="8" t="s">
        <v>27</v>
      </c>
      <c r="I25" s="8" t="s">
        <v>28</v>
      </c>
      <c r="J25" s="5" t="s">
        <v>2</v>
      </c>
      <c r="K25" s="5" t="s">
        <v>4</v>
      </c>
      <c r="L25" s="5" t="s">
        <v>5</v>
      </c>
      <c r="M25" s="5" t="s">
        <v>6</v>
      </c>
      <c r="N25" s="5" t="s">
        <v>7</v>
      </c>
      <c r="O25" s="8" t="s">
        <v>27</v>
      </c>
      <c r="P25" s="8" t="s">
        <v>28</v>
      </c>
      <c r="Q25" s="5" t="s">
        <v>2</v>
      </c>
      <c r="R25" s="5" t="s">
        <v>4</v>
      </c>
      <c r="S25" s="5" t="s">
        <v>5</v>
      </c>
      <c r="T25" s="5" t="s">
        <v>6</v>
      </c>
      <c r="U25" s="5" t="s">
        <v>7</v>
      </c>
      <c r="V25" s="8" t="s">
        <v>27</v>
      </c>
      <c r="W25" s="8" t="s">
        <v>28</v>
      </c>
      <c r="X25" s="5" t="s">
        <v>2</v>
      </c>
      <c r="Y25" s="5" t="s">
        <v>4</v>
      </c>
      <c r="Z25" s="5" t="s">
        <v>5</v>
      </c>
      <c r="AA25" s="5" t="s">
        <v>6</v>
      </c>
      <c r="AB25" s="5" t="s">
        <v>7</v>
      </c>
      <c r="AC25" s="8" t="s">
        <v>27</v>
      </c>
      <c r="AD25" s="8" t="s">
        <v>28</v>
      </c>
      <c r="AE25" s="5" t="s">
        <v>2</v>
      </c>
      <c r="AF25" s="5" t="s">
        <v>4</v>
      </c>
      <c r="AG25" s="5" t="s">
        <v>5</v>
      </c>
      <c r="AH25" s="5" t="s">
        <v>6</v>
      </c>
      <c r="AI25" s="5" t="s">
        <v>7</v>
      </c>
      <c r="AJ25" s="8" t="s">
        <v>27</v>
      </c>
      <c r="AK25" s="8" t="s">
        <v>28</v>
      </c>
      <c r="AL25" s="5" t="s">
        <v>2</v>
      </c>
    </row>
    <row r="26" spans="2:39" x14ac:dyDescent="0.15">
      <c r="B26" s="5">
        <v>1</v>
      </c>
      <c r="C26" s="16" t="str">
        <f>IF(C$24="","",LEFT(基本設定!E4,1))</f>
        <v/>
      </c>
      <c r="D26" s="16" t="str">
        <f>IF(D$24="","",LEFT(基本設定!F4,1))</f>
        <v/>
      </c>
      <c r="E26" s="16" t="str">
        <f>IF(E$24="","",LEFT(基本設定!G4,1))</f>
        <v>−</v>
      </c>
      <c r="F26" s="16" t="str">
        <f>IF(F$24="","",LEFT(基本設定!H4,1))</f>
        <v>−</v>
      </c>
      <c r="G26" s="16" t="str">
        <f>IF(G$24="","",LEFT(基本設定!I4,1))</f>
        <v>−</v>
      </c>
      <c r="H26" s="18"/>
      <c r="I26" s="18"/>
      <c r="J26" s="16" t="str">
        <f>LEFT(基本設定!E4,1)</f>
        <v>−</v>
      </c>
      <c r="K26" s="16" t="str">
        <f>LEFT(基本設定!F4,1)</f>
        <v>−</v>
      </c>
      <c r="L26" s="16" t="str">
        <f>LEFT(基本設定!G4,1)</f>
        <v>−</v>
      </c>
      <c r="M26" s="16" t="str">
        <f>LEFT(基本設定!H4,1)</f>
        <v>−</v>
      </c>
      <c r="N26" s="16" t="str">
        <f>LEFT(基本設定!I4,1)</f>
        <v>−</v>
      </c>
      <c r="O26" s="18"/>
      <c r="P26" s="18"/>
      <c r="Q26" s="16" t="str">
        <f>LEFT(基本設定!E4,1)</f>
        <v>−</v>
      </c>
      <c r="R26" s="16" t="str">
        <f>LEFT(基本設定!F4,1)</f>
        <v>−</v>
      </c>
      <c r="S26" s="16" t="str">
        <f>LEFT(基本設定!G4,1)</f>
        <v>−</v>
      </c>
      <c r="T26" s="16" t="str">
        <f>LEFT(基本設定!H4,1)</f>
        <v>−</v>
      </c>
      <c r="U26" s="16" t="str">
        <f>LEFT(基本設定!I4,1)</f>
        <v>−</v>
      </c>
      <c r="V26" s="18"/>
      <c r="W26" s="18"/>
      <c r="X26" s="16" t="str">
        <f>LEFT(基本設定!E4,1)</f>
        <v>−</v>
      </c>
      <c r="Y26" s="16" t="str">
        <f>LEFT(基本設定!F4,1)</f>
        <v>−</v>
      </c>
      <c r="Z26" s="16" t="str">
        <f>LEFT(基本設定!G4,1)</f>
        <v>−</v>
      </c>
      <c r="AA26" s="16" t="str">
        <f>LEFT(基本設定!H4,1)</f>
        <v>−</v>
      </c>
      <c r="AB26" s="16" t="str">
        <f>LEFT(基本設定!I4,1)</f>
        <v>−</v>
      </c>
      <c r="AC26" s="18"/>
      <c r="AD26" s="18"/>
      <c r="AE26" s="16" t="str">
        <f>IF(AE$24="","",LEFT(基本設定!E4,1))</f>
        <v>−</v>
      </c>
      <c r="AF26" s="16" t="str">
        <f>IF(AF$24="","",LEFT(基本設定!F4,1))</f>
        <v>−</v>
      </c>
      <c r="AG26" s="16" t="str">
        <f>IF(AG$24="","",LEFT(基本設定!G4,1))</f>
        <v>−</v>
      </c>
      <c r="AH26" s="16" t="str">
        <f>IF(AH$24="","",LEFT(基本設定!H4,1))</f>
        <v>−</v>
      </c>
      <c r="AI26" s="16" t="str">
        <f>IF(AI$24="","",LEFT(基本設定!I4,1))</f>
        <v/>
      </c>
      <c r="AJ26" s="18"/>
      <c r="AK26" s="18"/>
      <c r="AL26" s="16" t="str">
        <f>IF(AL$24="","",LEFT(基本設定!E4,1))</f>
        <v/>
      </c>
    </row>
    <row r="27" spans="2:39" x14ac:dyDescent="0.15">
      <c r="B27" s="5">
        <v>2</v>
      </c>
      <c r="C27" s="16" t="str">
        <f>IF(C$24="","",LEFT(基本設定!E5,1))</f>
        <v/>
      </c>
      <c r="D27" s="16" t="str">
        <f>IF(D$24="","",LEFT(基本設定!F5,1))</f>
        <v/>
      </c>
      <c r="E27" s="16" t="str">
        <f>IF(E$24="","",LEFT(基本設定!G5,1))</f>
        <v>−</v>
      </c>
      <c r="F27" s="16" t="str">
        <f>IF(F$24="","",LEFT(基本設定!H5,1))</f>
        <v>−</v>
      </c>
      <c r="G27" s="16" t="str">
        <f>IF(G$24="","",LEFT(基本設定!I5,1))</f>
        <v>−</v>
      </c>
      <c r="H27" s="18"/>
      <c r="I27" s="18"/>
      <c r="J27" s="16" t="str">
        <f>LEFT(基本設定!E5,1)</f>
        <v>−</v>
      </c>
      <c r="K27" s="16" t="str">
        <f>LEFT(基本設定!F5,1)</f>
        <v>−</v>
      </c>
      <c r="L27" s="16" t="str">
        <f>LEFT(基本設定!G5,1)</f>
        <v>−</v>
      </c>
      <c r="M27" s="16" t="str">
        <f>LEFT(基本設定!H5,1)</f>
        <v>−</v>
      </c>
      <c r="N27" s="16" t="str">
        <f>LEFT(基本設定!I5,1)</f>
        <v>−</v>
      </c>
      <c r="O27" s="18"/>
      <c r="P27" s="18"/>
      <c r="Q27" s="16" t="str">
        <f>LEFT(基本設定!E5,1)</f>
        <v>−</v>
      </c>
      <c r="R27" s="16" t="str">
        <f>LEFT(基本設定!F5,1)</f>
        <v>−</v>
      </c>
      <c r="S27" s="16" t="str">
        <f>LEFT(基本設定!G5,1)</f>
        <v>−</v>
      </c>
      <c r="T27" s="16" t="str">
        <f>LEFT(基本設定!H5,1)</f>
        <v>−</v>
      </c>
      <c r="U27" s="16" t="str">
        <f>LEFT(基本設定!I5,1)</f>
        <v>−</v>
      </c>
      <c r="V27" s="18"/>
      <c r="W27" s="18"/>
      <c r="X27" s="16" t="str">
        <f>LEFT(基本設定!E5,1)</f>
        <v>−</v>
      </c>
      <c r="Y27" s="16" t="str">
        <f>LEFT(基本設定!F5,1)</f>
        <v>−</v>
      </c>
      <c r="Z27" s="16" t="str">
        <f>LEFT(基本設定!G5,1)</f>
        <v>−</v>
      </c>
      <c r="AA27" s="16" t="str">
        <f>LEFT(基本設定!H5,1)</f>
        <v>−</v>
      </c>
      <c r="AB27" s="16" t="str">
        <f>LEFT(基本設定!I5,1)</f>
        <v>−</v>
      </c>
      <c r="AC27" s="18"/>
      <c r="AD27" s="18"/>
      <c r="AE27" s="16" t="str">
        <f>IF(AE$24="","",LEFT(基本設定!E5,1))</f>
        <v>−</v>
      </c>
      <c r="AF27" s="16" t="str">
        <f>IF(AF$24="","",LEFT(基本設定!F5,1))</f>
        <v>−</v>
      </c>
      <c r="AG27" s="16" t="str">
        <f>IF(AG$24="","",LEFT(基本設定!G5,1))</f>
        <v>−</v>
      </c>
      <c r="AH27" s="16" t="str">
        <f>IF(AH$24="","",LEFT(基本設定!H5,1))</f>
        <v>−</v>
      </c>
      <c r="AI27" s="16" t="str">
        <f>IF(AI$24="","",LEFT(基本設定!I5,1))</f>
        <v/>
      </c>
      <c r="AJ27" s="18"/>
      <c r="AK27" s="18"/>
      <c r="AL27" s="16" t="str">
        <f>IF(AL$24="","",LEFT(基本設定!E5,1))</f>
        <v/>
      </c>
    </row>
    <row r="28" spans="2:39" x14ac:dyDescent="0.15">
      <c r="B28" s="5">
        <v>3</v>
      </c>
      <c r="C28" s="16" t="str">
        <f>IF(C$24="","",LEFT(基本設定!E6,1))</f>
        <v/>
      </c>
      <c r="D28" s="16" t="str">
        <f>IF(D$24="","",LEFT(基本設定!F6,1))</f>
        <v/>
      </c>
      <c r="E28" s="16" t="str">
        <f>IF(E$24="","",LEFT(基本設定!G6,1))</f>
        <v>−</v>
      </c>
      <c r="F28" s="16" t="str">
        <f>IF(F$24="","",LEFT(基本設定!H6,1))</f>
        <v>−</v>
      </c>
      <c r="G28" s="16" t="str">
        <f>IF(G$24="","",LEFT(基本設定!I6,1))</f>
        <v>−</v>
      </c>
      <c r="H28" s="18"/>
      <c r="I28" s="18"/>
      <c r="J28" s="16" t="str">
        <f>LEFT(基本設定!E6,1)</f>
        <v>−</v>
      </c>
      <c r="K28" s="16" t="str">
        <f>LEFT(基本設定!F6,1)</f>
        <v>−</v>
      </c>
      <c r="L28" s="16" t="str">
        <f>LEFT(基本設定!G6,1)</f>
        <v>−</v>
      </c>
      <c r="M28" s="16" t="str">
        <f>LEFT(基本設定!H6,1)</f>
        <v>−</v>
      </c>
      <c r="N28" s="16" t="str">
        <f>LEFT(基本設定!I6,1)</f>
        <v>−</v>
      </c>
      <c r="O28" s="18"/>
      <c r="P28" s="18"/>
      <c r="Q28" s="16" t="str">
        <f>LEFT(基本設定!E6,1)</f>
        <v>−</v>
      </c>
      <c r="R28" s="16" t="str">
        <f>LEFT(基本設定!F6,1)</f>
        <v>−</v>
      </c>
      <c r="S28" s="16" t="str">
        <f>LEFT(基本設定!G6,1)</f>
        <v>−</v>
      </c>
      <c r="T28" s="16" t="str">
        <f>LEFT(基本設定!H6,1)</f>
        <v>−</v>
      </c>
      <c r="U28" s="16" t="str">
        <f>LEFT(基本設定!I6,1)</f>
        <v>−</v>
      </c>
      <c r="V28" s="18"/>
      <c r="W28" s="18"/>
      <c r="X28" s="16" t="str">
        <f>LEFT(基本設定!E6,1)</f>
        <v>−</v>
      </c>
      <c r="Y28" s="16" t="str">
        <f>LEFT(基本設定!F6,1)</f>
        <v>−</v>
      </c>
      <c r="Z28" s="16" t="str">
        <f>LEFT(基本設定!G6,1)</f>
        <v>−</v>
      </c>
      <c r="AA28" s="16" t="str">
        <f>LEFT(基本設定!H6,1)</f>
        <v>−</v>
      </c>
      <c r="AB28" s="16" t="str">
        <f>LEFT(基本設定!I6,1)</f>
        <v>−</v>
      </c>
      <c r="AC28" s="18"/>
      <c r="AD28" s="18"/>
      <c r="AE28" s="16" t="str">
        <f>IF(AE$24="","",LEFT(基本設定!E6,1))</f>
        <v>−</v>
      </c>
      <c r="AF28" s="16" t="str">
        <f>IF(AF$24="","",LEFT(基本設定!F6,1))</f>
        <v>−</v>
      </c>
      <c r="AG28" s="16" t="str">
        <f>IF(AG$24="","",LEFT(基本設定!G6,1))</f>
        <v>−</v>
      </c>
      <c r="AH28" s="16" t="str">
        <f>IF(AH$24="","",LEFT(基本設定!H6,1))</f>
        <v>−</v>
      </c>
      <c r="AI28" s="16" t="str">
        <f>IF(AI$24="","",LEFT(基本設定!I6,1))</f>
        <v/>
      </c>
      <c r="AJ28" s="18"/>
      <c r="AK28" s="18"/>
      <c r="AL28" s="16" t="str">
        <f>IF(AL$24="","",LEFT(基本設定!E6,1))</f>
        <v/>
      </c>
    </row>
    <row r="29" spans="2:39" x14ac:dyDescent="0.15">
      <c r="B29" s="5">
        <v>4</v>
      </c>
      <c r="C29" s="16" t="str">
        <f>IF(C$24="","",LEFT(基本設定!E7,1))</f>
        <v/>
      </c>
      <c r="D29" s="16" t="str">
        <f>IF(D$24="","",LEFT(基本設定!F7,1))</f>
        <v/>
      </c>
      <c r="E29" s="16" t="str">
        <f>IF(E$24="","",LEFT(基本設定!G7,1))</f>
        <v>−</v>
      </c>
      <c r="F29" s="16" t="str">
        <f>IF(F$24="","",LEFT(基本設定!H7,1))</f>
        <v>−</v>
      </c>
      <c r="G29" s="16" t="str">
        <f>IF(G$24="","",LEFT(基本設定!I7,1))</f>
        <v>−</v>
      </c>
      <c r="H29" s="18"/>
      <c r="I29" s="18"/>
      <c r="J29" s="16" t="str">
        <f>LEFT(基本設定!E7,1)</f>
        <v>−</v>
      </c>
      <c r="K29" s="16" t="str">
        <f>LEFT(基本設定!F7,1)</f>
        <v>−</v>
      </c>
      <c r="L29" s="16" t="str">
        <f>LEFT(基本設定!G7,1)</f>
        <v>−</v>
      </c>
      <c r="M29" s="16" t="str">
        <f>LEFT(基本設定!H7,1)</f>
        <v>−</v>
      </c>
      <c r="N29" s="16" t="str">
        <f>LEFT(基本設定!I7,1)</f>
        <v>−</v>
      </c>
      <c r="O29" s="18"/>
      <c r="P29" s="18"/>
      <c r="Q29" s="16" t="str">
        <f>LEFT(基本設定!E7,1)</f>
        <v>−</v>
      </c>
      <c r="R29" s="16" t="str">
        <f>LEFT(基本設定!F7,1)</f>
        <v>−</v>
      </c>
      <c r="S29" s="16" t="str">
        <f>LEFT(基本設定!G7,1)</f>
        <v>−</v>
      </c>
      <c r="T29" s="16" t="str">
        <f>LEFT(基本設定!H7,1)</f>
        <v>−</v>
      </c>
      <c r="U29" s="16" t="str">
        <f>LEFT(基本設定!I7,1)</f>
        <v>−</v>
      </c>
      <c r="V29" s="18"/>
      <c r="W29" s="18"/>
      <c r="X29" s="16" t="str">
        <f>LEFT(基本設定!E7,1)</f>
        <v>−</v>
      </c>
      <c r="Y29" s="16" t="str">
        <f>LEFT(基本設定!F7,1)</f>
        <v>−</v>
      </c>
      <c r="Z29" s="16" t="str">
        <f>LEFT(基本設定!G7,1)</f>
        <v>−</v>
      </c>
      <c r="AA29" s="16" t="str">
        <f>LEFT(基本設定!H7,1)</f>
        <v>−</v>
      </c>
      <c r="AB29" s="16" t="str">
        <f>LEFT(基本設定!I7,1)</f>
        <v>−</v>
      </c>
      <c r="AC29" s="18"/>
      <c r="AD29" s="18"/>
      <c r="AE29" s="16" t="str">
        <f>IF(AE$24="","",LEFT(基本設定!E7,1))</f>
        <v>−</v>
      </c>
      <c r="AF29" s="16" t="str">
        <f>IF(AF$24="","",LEFT(基本設定!F7,1))</f>
        <v>−</v>
      </c>
      <c r="AG29" s="16" t="str">
        <f>IF(AG$24="","",LEFT(基本設定!G7,1))</f>
        <v>−</v>
      </c>
      <c r="AH29" s="16" t="str">
        <f>IF(AH$24="","",LEFT(基本設定!H7,1))</f>
        <v>−</v>
      </c>
      <c r="AI29" s="16" t="str">
        <f>IF(AI$24="","",LEFT(基本設定!I7,1))</f>
        <v/>
      </c>
      <c r="AJ29" s="18"/>
      <c r="AK29" s="18"/>
      <c r="AL29" s="16" t="str">
        <f>IF(AL$24="","",LEFT(基本設定!E7,1))</f>
        <v/>
      </c>
    </row>
    <row r="30" spans="2:39" x14ac:dyDescent="0.15">
      <c r="B30" s="5">
        <v>5</v>
      </c>
      <c r="C30" s="16" t="str">
        <f>IF(C$24="","",LEFT(基本設定!E8,1))</f>
        <v/>
      </c>
      <c r="D30" s="16" t="str">
        <f>IF(D$24="","",LEFT(基本設定!F8,1))</f>
        <v/>
      </c>
      <c r="E30" s="16" t="str">
        <f>IF(E$24="","",LEFT(基本設定!G8,1))</f>
        <v>−</v>
      </c>
      <c r="F30" s="16" t="str">
        <f>IF(F$24="","",LEFT(基本設定!H8,1))</f>
        <v>−</v>
      </c>
      <c r="G30" s="16" t="str">
        <f>IF(G$24="","",LEFT(基本設定!I8,1))</f>
        <v>−</v>
      </c>
      <c r="H30" s="18"/>
      <c r="I30" s="18"/>
      <c r="J30" s="16" t="str">
        <f>LEFT(基本設定!E8,1)</f>
        <v>−</v>
      </c>
      <c r="K30" s="16" t="str">
        <f>LEFT(基本設定!F8,1)</f>
        <v>−</v>
      </c>
      <c r="L30" s="16" t="str">
        <f>LEFT(基本設定!G8,1)</f>
        <v>−</v>
      </c>
      <c r="M30" s="16" t="str">
        <f>LEFT(基本設定!H8,1)</f>
        <v>−</v>
      </c>
      <c r="N30" s="16" t="str">
        <f>LEFT(基本設定!I8,1)</f>
        <v>−</v>
      </c>
      <c r="O30" s="18"/>
      <c r="P30" s="18"/>
      <c r="Q30" s="16" t="str">
        <f>LEFT(基本設定!E8,1)</f>
        <v>−</v>
      </c>
      <c r="R30" s="16" t="str">
        <f>LEFT(基本設定!F8,1)</f>
        <v>−</v>
      </c>
      <c r="S30" s="16" t="str">
        <f>LEFT(基本設定!G8,1)</f>
        <v>−</v>
      </c>
      <c r="T30" s="16" t="str">
        <f>LEFT(基本設定!H8,1)</f>
        <v>−</v>
      </c>
      <c r="U30" s="16" t="str">
        <f>LEFT(基本設定!I8,1)</f>
        <v>−</v>
      </c>
      <c r="V30" s="18"/>
      <c r="W30" s="18"/>
      <c r="X30" s="16" t="str">
        <f>LEFT(基本設定!E8,1)</f>
        <v>−</v>
      </c>
      <c r="Y30" s="16" t="str">
        <f>LEFT(基本設定!F8,1)</f>
        <v>−</v>
      </c>
      <c r="Z30" s="16" t="str">
        <f>LEFT(基本設定!G8,1)</f>
        <v>−</v>
      </c>
      <c r="AA30" s="16" t="str">
        <f>LEFT(基本設定!H8,1)</f>
        <v>−</v>
      </c>
      <c r="AB30" s="16" t="str">
        <f>LEFT(基本設定!I8,1)</f>
        <v>−</v>
      </c>
      <c r="AC30" s="18"/>
      <c r="AD30" s="18"/>
      <c r="AE30" s="16" t="str">
        <f>IF(AE$24="","",LEFT(基本設定!E8,1))</f>
        <v>−</v>
      </c>
      <c r="AF30" s="16" t="str">
        <f>IF(AF$24="","",LEFT(基本設定!F8,1))</f>
        <v>−</v>
      </c>
      <c r="AG30" s="16" t="str">
        <f>IF(AG$24="","",LEFT(基本設定!G8,1))</f>
        <v>−</v>
      </c>
      <c r="AH30" s="16" t="str">
        <f>IF(AH$24="","",LEFT(基本設定!H8,1))</f>
        <v>−</v>
      </c>
      <c r="AI30" s="16" t="str">
        <f>IF(AI$24="","",LEFT(基本設定!I8,1))</f>
        <v/>
      </c>
      <c r="AJ30" s="18"/>
      <c r="AK30" s="18"/>
      <c r="AL30" s="16" t="str">
        <f>IF(AL$24="","",LEFT(基本設定!E8,1))</f>
        <v/>
      </c>
    </row>
    <row r="31" spans="2:39" x14ac:dyDescent="0.15">
      <c r="B31" s="5">
        <v>6</v>
      </c>
      <c r="C31" s="16" t="str">
        <f>IF(C$24="","",LEFT(基本設定!E9,1))</f>
        <v/>
      </c>
      <c r="D31" s="16" t="str">
        <f>IF(D$24="","",LEFT(基本設定!F9,1))</f>
        <v/>
      </c>
      <c r="E31" s="16" t="str">
        <f>IF(E$24="","",LEFT(基本設定!G9,1))</f>
        <v>−</v>
      </c>
      <c r="F31" s="16" t="str">
        <f>IF(F$24="","",LEFT(基本設定!H9,1))</f>
        <v>−</v>
      </c>
      <c r="G31" s="16" t="str">
        <f>IF(G$24="","",LEFT(基本設定!I9,1))</f>
        <v>−</v>
      </c>
      <c r="H31" s="18"/>
      <c r="I31" s="18"/>
      <c r="J31" s="16" t="str">
        <f>LEFT(基本設定!E9,1)</f>
        <v>−</v>
      </c>
      <c r="K31" s="16" t="str">
        <f>LEFT(基本設定!F9,1)</f>
        <v>−</v>
      </c>
      <c r="L31" s="16" t="str">
        <f>LEFT(基本設定!G9,1)</f>
        <v>−</v>
      </c>
      <c r="M31" s="16" t="str">
        <f>LEFT(基本設定!H9,1)</f>
        <v>−</v>
      </c>
      <c r="N31" s="16" t="str">
        <f>LEFT(基本設定!I9,1)</f>
        <v>−</v>
      </c>
      <c r="O31" s="18"/>
      <c r="P31" s="18"/>
      <c r="Q31" s="16" t="str">
        <f>LEFT(基本設定!E9,1)</f>
        <v>−</v>
      </c>
      <c r="R31" s="16" t="str">
        <f>LEFT(基本設定!F9,1)</f>
        <v>−</v>
      </c>
      <c r="S31" s="16" t="str">
        <f>LEFT(基本設定!G9,1)</f>
        <v>−</v>
      </c>
      <c r="T31" s="16" t="str">
        <f>LEFT(基本設定!H9,1)</f>
        <v>−</v>
      </c>
      <c r="U31" s="16" t="str">
        <f>LEFT(基本設定!I9,1)</f>
        <v>−</v>
      </c>
      <c r="V31" s="18"/>
      <c r="W31" s="18"/>
      <c r="X31" s="16" t="str">
        <f>LEFT(基本設定!E9,1)</f>
        <v>−</v>
      </c>
      <c r="Y31" s="16" t="str">
        <f>LEFT(基本設定!F9,1)</f>
        <v>−</v>
      </c>
      <c r="Z31" s="16" t="str">
        <f>LEFT(基本設定!G9,1)</f>
        <v>−</v>
      </c>
      <c r="AA31" s="16" t="str">
        <f>LEFT(基本設定!H9,1)</f>
        <v>−</v>
      </c>
      <c r="AB31" s="16" t="str">
        <f>LEFT(基本設定!I9,1)</f>
        <v>−</v>
      </c>
      <c r="AC31" s="18"/>
      <c r="AD31" s="18"/>
      <c r="AE31" s="16" t="str">
        <f>IF(AE$24="","",LEFT(基本設定!E9,1))</f>
        <v>−</v>
      </c>
      <c r="AF31" s="16" t="str">
        <f>IF(AF$24="","",LEFT(基本設定!F9,1))</f>
        <v>−</v>
      </c>
      <c r="AG31" s="16" t="str">
        <f>IF(AG$24="","",LEFT(基本設定!G9,1))</f>
        <v>−</v>
      </c>
      <c r="AH31" s="16" t="str">
        <f>IF(AH$24="","",LEFT(基本設定!H9,1))</f>
        <v>−</v>
      </c>
      <c r="AI31" s="16" t="str">
        <f>IF(AI$24="","",LEFT(基本設定!I9,1))</f>
        <v/>
      </c>
      <c r="AJ31" s="18"/>
      <c r="AK31" s="18"/>
      <c r="AL31" s="16" t="str">
        <f>IF(AL$24="","",LEFT(基本設定!E9,1))</f>
        <v/>
      </c>
    </row>
    <row r="33" spans="2:39" x14ac:dyDescent="0.15">
      <c r="B33" s="11">
        <v>7</v>
      </c>
      <c r="C33" s="12" t="s">
        <v>26</v>
      </c>
    </row>
    <row r="34" spans="2:39" x14ac:dyDescent="0.15">
      <c r="B34" s="5"/>
      <c r="C34" s="5" t="str">
        <f>IF(WEEKDAY(DATE($C$1+1988,$B$33,1),2)=1,1,"")</f>
        <v/>
      </c>
      <c r="D34" s="5" t="str">
        <f>IF(C34="",IF(WEEKDAY(DATE($C$1+1988,$B$33,1),2)=2,1,""),C34+1)</f>
        <v/>
      </c>
      <c r="E34" s="5" t="str">
        <f>IF(D34="",IF(WEEKDAY(DATE($C$1+1988,$B$33,1),2)=3,1,""),D34+1)</f>
        <v/>
      </c>
      <c r="F34" s="5" t="str">
        <f>IF(E34="",IF(WEEKDAY(DATE($C$1+1988,$B$33,1),2)=4,1,""),E34+1)</f>
        <v/>
      </c>
      <c r="G34" s="5">
        <f>IF(F34="",IF(WEEKDAY(DATE($C$1+1988,$B$33,1),2)=5,1,""),F34+1)</f>
        <v>1</v>
      </c>
      <c r="H34" s="8">
        <f>IF(G34="",IF(WEEKDAY(DATE($C$1+1988,$B$33,1),2)=6,1,""),G34+1)</f>
        <v>2</v>
      </c>
      <c r="I34" s="8">
        <f>IF(H34="",IF(WEEKDAY(DATE($C$1+1988,$B$33,1),2)=7,1,""),H34+1)</f>
        <v>3</v>
      </c>
      <c r="J34" s="5">
        <f>I34+1</f>
        <v>4</v>
      </c>
      <c r="K34" s="5">
        <f t="shared" ref="K34" si="51">J34+1</f>
        <v>5</v>
      </c>
      <c r="L34" s="5">
        <f t="shared" ref="L34" si="52">K34+1</f>
        <v>6</v>
      </c>
      <c r="M34" s="5">
        <f t="shared" ref="M34" si="53">L34+1</f>
        <v>7</v>
      </c>
      <c r="N34" s="5">
        <f t="shared" ref="N34" si="54">M34+1</f>
        <v>8</v>
      </c>
      <c r="O34" s="8">
        <f t="shared" ref="O34" si="55">N34+1</f>
        <v>9</v>
      </c>
      <c r="P34" s="8">
        <f t="shared" ref="P34" si="56">O34+1</f>
        <v>10</v>
      </c>
      <c r="Q34" s="5">
        <f t="shared" ref="Q34" si="57">P34+1</f>
        <v>11</v>
      </c>
      <c r="R34" s="5">
        <f t="shared" ref="R34" si="58">Q34+1</f>
        <v>12</v>
      </c>
      <c r="S34" s="5">
        <f t="shared" ref="S34" si="59">R34+1</f>
        <v>13</v>
      </c>
      <c r="T34" s="5">
        <f t="shared" ref="T34" si="60">S34+1</f>
        <v>14</v>
      </c>
      <c r="U34" s="5">
        <f t="shared" ref="U34" si="61">T34+1</f>
        <v>15</v>
      </c>
      <c r="V34" s="8">
        <f t="shared" ref="V34" si="62">U34+1</f>
        <v>16</v>
      </c>
      <c r="W34" s="8">
        <f t="shared" ref="W34" si="63">V34+1</f>
        <v>17</v>
      </c>
      <c r="X34" s="5">
        <f t="shared" ref="X34" si="64">W34+1</f>
        <v>18</v>
      </c>
      <c r="Y34" s="5">
        <f t="shared" ref="Y34" si="65">X34+1</f>
        <v>19</v>
      </c>
      <c r="Z34" s="5">
        <f t="shared" ref="Z34" si="66">Y34+1</f>
        <v>20</v>
      </c>
      <c r="AA34" s="5">
        <f t="shared" ref="AA34" si="67">Z34+1</f>
        <v>21</v>
      </c>
      <c r="AB34" s="5">
        <f t="shared" ref="AB34" si="68">AA34+1</f>
        <v>22</v>
      </c>
      <c r="AC34" s="8">
        <f t="shared" ref="AC34" si="69">AB34+1</f>
        <v>23</v>
      </c>
      <c r="AD34" s="8">
        <f t="shared" ref="AD34" si="70">AC34+1</f>
        <v>24</v>
      </c>
      <c r="AE34" s="5">
        <f t="shared" ref="AE34" si="71">AD34+1</f>
        <v>25</v>
      </c>
      <c r="AF34" s="5">
        <f>IFERROR(IF(AE34=31,"",AE34+1),"")</f>
        <v>26</v>
      </c>
      <c r="AG34" s="5">
        <f t="shared" ref="AG34:AM34" si="72">IFERROR(IF(AF34=31,"",AF34+1),"")</f>
        <v>27</v>
      </c>
      <c r="AH34" s="5">
        <f t="shared" si="72"/>
        <v>28</v>
      </c>
      <c r="AI34" s="5">
        <f t="shared" si="72"/>
        <v>29</v>
      </c>
      <c r="AJ34" s="8">
        <f t="shared" si="72"/>
        <v>30</v>
      </c>
      <c r="AK34" s="8">
        <f t="shared" si="72"/>
        <v>31</v>
      </c>
      <c r="AL34" s="5" t="str">
        <f t="shared" si="72"/>
        <v/>
      </c>
      <c r="AM34" s="5" t="str">
        <f t="shared" si="72"/>
        <v/>
      </c>
    </row>
    <row r="35" spans="2:39" x14ac:dyDescent="0.15">
      <c r="B35" s="5" t="s">
        <v>29</v>
      </c>
      <c r="C35" s="5" t="s">
        <v>3</v>
      </c>
      <c r="D35" s="5" t="s">
        <v>22</v>
      </c>
      <c r="E35" s="5" t="s">
        <v>23</v>
      </c>
      <c r="F35" s="5" t="s">
        <v>24</v>
      </c>
      <c r="G35" s="5" t="s">
        <v>25</v>
      </c>
      <c r="H35" s="8" t="s">
        <v>27</v>
      </c>
      <c r="I35" s="8" t="s">
        <v>28</v>
      </c>
      <c r="J35" s="5" t="s">
        <v>2</v>
      </c>
      <c r="K35" s="5" t="s">
        <v>4</v>
      </c>
      <c r="L35" s="5" t="s">
        <v>5</v>
      </c>
      <c r="M35" s="5" t="s">
        <v>6</v>
      </c>
      <c r="N35" s="5" t="s">
        <v>7</v>
      </c>
      <c r="O35" s="8" t="s">
        <v>27</v>
      </c>
      <c r="P35" s="8" t="s">
        <v>28</v>
      </c>
      <c r="Q35" s="5" t="s">
        <v>2</v>
      </c>
      <c r="R35" s="5" t="s">
        <v>4</v>
      </c>
      <c r="S35" s="5" t="s">
        <v>5</v>
      </c>
      <c r="T35" s="5" t="s">
        <v>6</v>
      </c>
      <c r="U35" s="5" t="s">
        <v>7</v>
      </c>
      <c r="V35" s="8" t="s">
        <v>27</v>
      </c>
      <c r="W35" s="8" t="s">
        <v>28</v>
      </c>
      <c r="X35" s="5" t="s">
        <v>2</v>
      </c>
      <c r="Y35" s="5" t="s">
        <v>4</v>
      </c>
      <c r="Z35" s="5" t="s">
        <v>5</v>
      </c>
      <c r="AA35" s="5" t="s">
        <v>6</v>
      </c>
      <c r="AB35" s="5" t="s">
        <v>7</v>
      </c>
      <c r="AC35" s="8" t="s">
        <v>27</v>
      </c>
      <c r="AD35" s="8" t="s">
        <v>28</v>
      </c>
      <c r="AE35" s="5" t="s">
        <v>2</v>
      </c>
      <c r="AF35" s="5" t="s">
        <v>4</v>
      </c>
      <c r="AG35" s="5" t="s">
        <v>5</v>
      </c>
      <c r="AH35" s="5" t="s">
        <v>6</v>
      </c>
      <c r="AI35" s="5" t="s">
        <v>7</v>
      </c>
      <c r="AJ35" s="8" t="s">
        <v>27</v>
      </c>
      <c r="AK35" s="8" t="s">
        <v>28</v>
      </c>
      <c r="AL35" s="5" t="s">
        <v>2</v>
      </c>
      <c r="AM35" s="5" t="s">
        <v>4</v>
      </c>
    </row>
    <row r="36" spans="2:39" x14ac:dyDescent="0.15">
      <c r="B36" s="5">
        <v>1</v>
      </c>
      <c r="C36" s="16" t="str">
        <f>IF(C$34="","",LEFT(基本設定!E4,1))</f>
        <v/>
      </c>
      <c r="D36" s="16" t="str">
        <f>IF(D$34="","",LEFT(基本設定!F4,1))</f>
        <v/>
      </c>
      <c r="E36" s="16" t="str">
        <f>IF(E$34="","",LEFT(基本設定!G4,1))</f>
        <v/>
      </c>
      <c r="F36" s="16" t="str">
        <f>IF(F$34="","",LEFT(基本設定!H4,1))</f>
        <v/>
      </c>
      <c r="G36" s="16" t="str">
        <f>IF(G$34="","",LEFT(基本設定!I4,1))</f>
        <v>−</v>
      </c>
      <c r="H36" s="18"/>
      <c r="I36" s="18"/>
      <c r="J36" s="16" t="str">
        <f>LEFT(基本設定!E4,1)</f>
        <v>−</v>
      </c>
      <c r="K36" s="16" t="str">
        <f>LEFT(基本設定!F4,1)</f>
        <v>−</v>
      </c>
      <c r="L36" s="16" t="str">
        <f>LEFT(基本設定!G4,1)</f>
        <v>−</v>
      </c>
      <c r="M36" s="16" t="str">
        <f>LEFT(基本設定!H4,1)</f>
        <v>−</v>
      </c>
      <c r="N36" s="16" t="str">
        <f>LEFT(基本設定!I4,1)</f>
        <v>−</v>
      </c>
      <c r="O36" s="18"/>
      <c r="P36" s="18"/>
      <c r="Q36" s="16" t="str">
        <f>IF(AND($Q$34&gt;=15,$Q$34&lt;=21),"海",LEFT(基本設定!$E4,1))</f>
        <v>−</v>
      </c>
      <c r="R36" s="16" t="str">
        <f>LEFT(基本設定!F4,1)</f>
        <v>−</v>
      </c>
      <c r="S36" s="16" t="str">
        <f>LEFT(基本設定!G4,1)</f>
        <v>−</v>
      </c>
      <c r="T36" s="16" t="str">
        <f>LEFT(基本設定!H4,1)</f>
        <v>−</v>
      </c>
      <c r="U36" s="16" t="str">
        <f>LEFT(基本設定!I4,1)</f>
        <v>−</v>
      </c>
      <c r="V36" s="18"/>
      <c r="W36" s="18"/>
      <c r="X36" s="16" t="str">
        <f>IF(AND($X$34&gt;=15,$X$34&lt;=21),"海",IF(X$34&gt;=21,"",LEFT(基本設定!$E4,1)))</f>
        <v>海</v>
      </c>
      <c r="Y36" s="16" t="str">
        <f>IF(Y$34&gt;=21,"",LEFT(基本設定!F4,1))</f>
        <v>−</v>
      </c>
      <c r="Z36" s="16" t="str">
        <f>IF(Z$34&gt;=21,"",LEFT(基本設定!G4,1))</f>
        <v>−</v>
      </c>
      <c r="AA36" s="16" t="str">
        <f>IF(AA$34&gt;=21,"",LEFT(基本設定!H4,1))</f>
        <v/>
      </c>
      <c r="AB36" s="16" t="str">
        <f>IF(AB$34&gt;=21,"",LEFT(基本設定!I4,1))</f>
        <v/>
      </c>
      <c r="AC36" s="18"/>
      <c r="AD36" s="18"/>
      <c r="AE36" s="16"/>
      <c r="AF36" s="16"/>
      <c r="AG36" s="16"/>
      <c r="AH36" s="16"/>
      <c r="AI36" s="16"/>
      <c r="AJ36" s="18"/>
      <c r="AK36" s="18"/>
      <c r="AL36" s="16"/>
      <c r="AM36" s="16"/>
    </row>
    <row r="37" spans="2:39" x14ac:dyDescent="0.15">
      <c r="B37" s="5">
        <v>2</v>
      </c>
      <c r="C37" s="16" t="str">
        <f>IF(C$34="","",LEFT(基本設定!E5,1))</f>
        <v/>
      </c>
      <c r="D37" s="16" t="str">
        <f>IF(D$34="","",LEFT(基本設定!F5,1))</f>
        <v/>
      </c>
      <c r="E37" s="16" t="str">
        <f>IF(E$34="","",LEFT(基本設定!G5,1))</f>
        <v/>
      </c>
      <c r="F37" s="16" t="str">
        <f>IF(F$34="","",LEFT(基本設定!H5,1))</f>
        <v/>
      </c>
      <c r="G37" s="16" t="str">
        <f>IF(G$34="","",LEFT(基本設定!I5,1))</f>
        <v>−</v>
      </c>
      <c r="H37" s="18"/>
      <c r="I37" s="18"/>
      <c r="J37" s="16" t="str">
        <f>LEFT(基本設定!E5,1)</f>
        <v>−</v>
      </c>
      <c r="K37" s="16" t="str">
        <f>LEFT(基本設定!F5,1)</f>
        <v>−</v>
      </c>
      <c r="L37" s="16" t="str">
        <f>LEFT(基本設定!G5,1)</f>
        <v>−</v>
      </c>
      <c r="M37" s="16" t="str">
        <f>LEFT(基本設定!H5,1)</f>
        <v>−</v>
      </c>
      <c r="N37" s="16" t="str">
        <f>LEFT(基本設定!I5,1)</f>
        <v>−</v>
      </c>
      <c r="O37" s="18"/>
      <c r="P37" s="18"/>
      <c r="Q37" s="16" t="str">
        <f>IF(AND($Q$34&gt;=15,$Q$34&lt;=21),"",LEFT(基本設定!$E5,1))</f>
        <v>−</v>
      </c>
      <c r="R37" s="16" t="str">
        <f>LEFT(基本設定!F5,1)</f>
        <v>−</v>
      </c>
      <c r="S37" s="16" t="str">
        <f>LEFT(基本設定!G5,1)</f>
        <v>−</v>
      </c>
      <c r="T37" s="16" t="str">
        <f>LEFT(基本設定!H5,1)</f>
        <v>−</v>
      </c>
      <c r="U37" s="16" t="str">
        <f>LEFT(基本設定!I5,1)</f>
        <v>−</v>
      </c>
      <c r="V37" s="18"/>
      <c r="W37" s="18"/>
      <c r="X37" s="16" t="str">
        <f>IF(AND($X$34&gt;=15,$X$34&lt;=21),"",IF(X$34&gt;=21,"",LEFT(基本設定!$E5,1)))</f>
        <v/>
      </c>
      <c r="Y37" s="16" t="str">
        <f>IF(Y$34&gt;=21,"",LEFT(基本設定!F5,1))</f>
        <v>−</v>
      </c>
      <c r="Z37" s="16" t="str">
        <f>IF(Z$34&gt;=21,"",LEFT(基本設定!G5,1))</f>
        <v>−</v>
      </c>
      <c r="AA37" s="16" t="str">
        <f>IF(AA$34&gt;=21,"",LEFT(基本設定!H5,1))</f>
        <v/>
      </c>
      <c r="AB37" s="16" t="str">
        <f>IF(AB$34&gt;=21,"",LEFT(基本設定!I5,1))</f>
        <v/>
      </c>
      <c r="AC37" s="18"/>
      <c r="AD37" s="18"/>
      <c r="AE37" s="16"/>
      <c r="AF37" s="16"/>
      <c r="AG37" s="16"/>
      <c r="AH37" s="16"/>
      <c r="AI37" s="16"/>
      <c r="AJ37" s="18"/>
      <c r="AK37" s="18"/>
      <c r="AL37" s="16"/>
      <c r="AM37" s="16"/>
    </row>
    <row r="38" spans="2:39" x14ac:dyDescent="0.15">
      <c r="B38" s="5">
        <v>3</v>
      </c>
      <c r="C38" s="16" t="str">
        <f>IF(C$34="","",LEFT(基本設定!E6,1))</f>
        <v/>
      </c>
      <c r="D38" s="16" t="str">
        <f>IF(D$34="","",LEFT(基本設定!F6,1))</f>
        <v/>
      </c>
      <c r="E38" s="16" t="str">
        <f>IF(E$34="","",LEFT(基本設定!G6,1))</f>
        <v/>
      </c>
      <c r="F38" s="16" t="str">
        <f>IF(F$34="","",LEFT(基本設定!H6,1))</f>
        <v/>
      </c>
      <c r="G38" s="16" t="str">
        <f>IF(G$34="","",LEFT(基本設定!I6,1))</f>
        <v>−</v>
      </c>
      <c r="H38" s="18"/>
      <c r="I38" s="18"/>
      <c r="J38" s="16" t="str">
        <f>LEFT(基本設定!E6,1)</f>
        <v>−</v>
      </c>
      <c r="K38" s="16" t="str">
        <f>LEFT(基本設定!F6,1)</f>
        <v>−</v>
      </c>
      <c r="L38" s="16" t="str">
        <f>LEFT(基本設定!G6,1)</f>
        <v>−</v>
      </c>
      <c r="M38" s="16" t="str">
        <f>LEFT(基本設定!H6,1)</f>
        <v>−</v>
      </c>
      <c r="N38" s="16" t="str">
        <f>LEFT(基本設定!I6,1)</f>
        <v>−</v>
      </c>
      <c r="O38" s="18"/>
      <c r="P38" s="18"/>
      <c r="Q38" s="16" t="str">
        <f>IF(AND($Q$34&gt;=15,$Q$34&lt;=21),"の",LEFT(基本設定!$E6,1))</f>
        <v>−</v>
      </c>
      <c r="R38" s="16" t="str">
        <f>LEFT(基本設定!F6,1)</f>
        <v>−</v>
      </c>
      <c r="S38" s="16" t="str">
        <f>LEFT(基本設定!G6,1)</f>
        <v>−</v>
      </c>
      <c r="T38" s="16" t="str">
        <f>LEFT(基本設定!H6,1)</f>
        <v>−</v>
      </c>
      <c r="U38" s="16" t="str">
        <f>LEFT(基本設定!I6,1)</f>
        <v>−</v>
      </c>
      <c r="V38" s="18"/>
      <c r="W38" s="18"/>
      <c r="X38" s="16" t="str">
        <f>IF(AND($X$34&gt;=15,$X$34&lt;=21),"の",IF(X$34&gt;=21,"",LEFT(基本設定!$E6,1)))</f>
        <v>の</v>
      </c>
      <c r="Y38" s="16" t="str">
        <f>IF(Y$34&gt;=21,"",LEFT(基本設定!F6,1))</f>
        <v>−</v>
      </c>
      <c r="Z38" s="16" t="str">
        <f>IF(Z$34&gt;=21,"",LEFT(基本設定!G6,1))</f>
        <v>−</v>
      </c>
      <c r="AA38" s="16" t="str">
        <f>IF(AA$34&gt;=21,"",LEFT(基本設定!H6,1))</f>
        <v/>
      </c>
      <c r="AB38" s="16" t="str">
        <f>IF(AB$34&gt;=21,"",LEFT(基本設定!I6,1))</f>
        <v/>
      </c>
      <c r="AC38" s="18"/>
      <c r="AD38" s="18"/>
      <c r="AE38" s="16"/>
      <c r="AF38" s="16"/>
      <c r="AG38" s="16"/>
      <c r="AH38" s="16"/>
      <c r="AI38" s="16"/>
      <c r="AJ38" s="18"/>
      <c r="AK38" s="18"/>
      <c r="AL38" s="16"/>
      <c r="AM38" s="16"/>
    </row>
    <row r="39" spans="2:39" x14ac:dyDescent="0.15">
      <c r="B39" s="5">
        <v>4</v>
      </c>
      <c r="C39" s="16" t="str">
        <f>IF(C$34="","",LEFT(基本設定!E7,1))</f>
        <v/>
      </c>
      <c r="D39" s="16" t="str">
        <f>IF(D$34="","",LEFT(基本設定!F7,1))</f>
        <v/>
      </c>
      <c r="E39" s="16" t="str">
        <f>IF(E$34="","",LEFT(基本設定!G7,1))</f>
        <v/>
      </c>
      <c r="F39" s="16" t="str">
        <f>IF(F$34="","",LEFT(基本設定!H7,1))</f>
        <v/>
      </c>
      <c r="G39" s="16" t="str">
        <f>IF(G$34="","",LEFT(基本設定!I7,1))</f>
        <v>−</v>
      </c>
      <c r="H39" s="18"/>
      <c r="I39" s="18"/>
      <c r="J39" s="16" t="str">
        <f>LEFT(基本設定!E7,1)</f>
        <v>−</v>
      </c>
      <c r="K39" s="16" t="str">
        <f>LEFT(基本設定!F7,1)</f>
        <v>−</v>
      </c>
      <c r="L39" s="16" t="str">
        <f>LEFT(基本設定!G7,1)</f>
        <v>−</v>
      </c>
      <c r="M39" s="16" t="str">
        <f>LEFT(基本設定!H7,1)</f>
        <v>−</v>
      </c>
      <c r="N39" s="16" t="str">
        <f>LEFT(基本設定!I7,1)</f>
        <v>−</v>
      </c>
      <c r="O39" s="18"/>
      <c r="P39" s="18"/>
      <c r="Q39" s="16" t="str">
        <f>IF(AND($Q$34&gt;=15,$Q$34&lt;=21),"",LEFT(基本設定!$E7,1))</f>
        <v>−</v>
      </c>
      <c r="R39" s="16" t="str">
        <f>LEFT(基本設定!F7,1)</f>
        <v>−</v>
      </c>
      <c r="S39" s="16" t="str">
        <f>LEFT(基本設定!G7,1)</f>
        <v>−</v>
      </c>
      <c r="T39" s="16" t="str">
        <f>LEFT(基本設定!H7,1)</f>
        <v>−</v>
      </c>
      <c r="U39" s="16" t="str">
        <f>LEFT(基本設定!I7,1)</f>
        <v>−</v>
      </c>
      <c r="V39" s="18"/>
      <c r="W39" s="18"/>
      <c r="X39" s="16" t="str">
        <f>IF(AND($X$34&gt;=15,$X$34&lt;=21),"",IF(X$34&gt;=21,"",LEFT(基本設定!$E7,1)))</f>
        <v/>
      </c>
      <c r="Y39" s="16" t="str">
        <f>IF(Y$34&gt;=21,"",LEFT(基本設定!F7,1))</f>
        <v>−</v>
      </c>
      <c r="Z39" s="16" t="str">
        <f>IF(Z$34&gt;=21,"",LEFT(基本設定!G7,1))</f>
        <v>−</v>
      </c>
      <c r="AA39" s="16" t="str">
        <f>IF(AA$34&gt;=21,"",LEFT(基本設定!H7,1))</f>
        <v/>
      </c>
      <c r="AB39" s="16" t="str">
        <f>IF(AB$34&gt;=21,"",LEFT(基本設定!I7,1))</f>
        <v/>
      </c>
      <c r="AC39" s="18"/>
      <c r="AD39" s="18"/>
      <c r="AE39" s="16"/>
      <c r="AF39" s="16"/>
      <c r="AG39" s="16"/>
      <c r="AH39" s="16"/>
      <c r="AI39" s="16"/>
      <c r="AJ39" s="18"/>
      <c r="AK39" s="18"/>
      <c r="AL39" s="16"/>
      <c r="AM39" s="16"/>
    </row>
    <row r="40" spans="2:39" x14ac:dyDescent="0.15">
      <c r="B40" s="5">
        <v>5</v>
      </c>
      <c r="C40" s="16" t="str">
        <f>IF(C$34="","",LEFT(基本設定!E8,1))</f>
        <v/>
      </c>
      <c r="D40" s="16" t="str">
        <f>IF(D$34="","",LEFT(基本設定!F8,1))</f>
        <v/>
      </c>
      <c r="E40" s="16" t="str">
        <f>IF(E$34="","",LEFT(基本設定!G8,1))</f>
        <v/>
      </c>
      <c r="F40" s="16" t="str">
        <f>IF(F$34="","",LEFT(基本設定!H8,1))</f>
        <v/>
      </c>
      <c r="G40" s="16" t="str">
        <f>IF(G$34="","",LEFT(基本設定!I8,1))</f>
        <v>−</v>
      </c>
      <c r="H40" s="18"/>
      <c r="I40" s="18"/>
      <c r="J40" s="16" t="str">
        <f>LEFT(基本設定!E8,1)</f>
        <v>−</v>
      </c>
      <c r="K40" s="16" t="str">
        <f>LEFT(基本設定!F8,1)</f>
        <v>−</v>
      </c>
      <c r="L40" s="16" t="str">
        <f>LEFT(基本設定!G8,1)</f>
        <v>−</v>
      </c>
      <c r="M40" s="16" t="str">
        <f>LEFT(基本設定!H8,1)</f>
        <v>−</v>
      </c>
      <c r="N40" s="16" t="str">
        <f>LEFT(基本設定!I8,1)</f>
        <v>−</v>
      </c>
      <c r="O40" s="18"/>
      <c r="P40" s="18"/>
      <c r="Q40" s="16" t="str">
        <f>IF(AND($Q$34&gt;=15,$Q$34&lt;=21),"日",LEFT(基本設定!$E8,1))</f>
        <v>−</v>
      </c>
      <c r="R40" s="16" t="str">
        <f>LEFT(基本設定!F8,1)</f>
        <v>−</v>
      </c>
      <c r="S40" s="16" t="str">
        <f>LEFT(基本設定!G8,1)</f>
        <v>−</v>
      </c>
      <c r="T40" s="16" t="str">
        <f>LEFT(基本設定!H8,1)</f>
        <v>−</v>
      </c>
      <c r="U40" s="16" t="str">
        <f>LEFT(基本設定!I8,1)</f>
        <v>−</v>
      </c>
      <c r="V40" s="18"/>
      <c r="W40" s="18"/>
      <c r="X40" s="16" t="str">
        <f>IF(AND($X$34&gt;=15,$X$34&lt;=21),"日",IF(X$34&gt;=21,"",LEFT(基本設定!$E8,1)))</f>
        <v>日</v>
      </c>
      <c r="Y40" s="16" t="str">
        <f>IF(Y$34&gt;=21,"",LEFT(基本設定!F8,1))</f>
        <v>−</v>
      </c>
      <c r="Z40" s="16" t="str">
        <f>IF(Z$34&gt;=21,"",LEFT(基本設定!G8,1))</f>
        <v>−</v>
      </c>
      <c r="AA40" s="16" t="str">
        <f>IF(AA$34&gt;=21,"",LEFT(基本設定!H8,1))</f>
        <v/>
      </c>
      <c r="AB40" s="16" t="str">
        <f>IF(AB$34&gt;=21,"",LEFT(基本設定!I8,1))</f>
        <v/>
      </c>
      <c r="AC40" s="18"/>
      <c r="AD40" s="18"/>
      <c r="AE40" s="16"/>
      <c r="AF40" s="16"/>
      <c r="AG40" s="16"/>
      <c r="AH40" s="16"/>
      <c r="AI40" s="16"/>
      <c r="AJ40" s="18"/>
      <c r="AK40" s="18"/>
      <c r="AL40" s="16"/>
      <c r="AM40" s="16"/>
    </row>
    <row r="41" spans="2:39" x14ac:dyDescent="0.15">
      <c r="B41" s="5">
        <v>6</v>
      </c>
      <c r="C41" s="16" t="str">
        <f>IF(C$34="","",LEFT(基本設定!E9,1))</f>
        <v/>
      </c>
      <c r="D41" s="16" t="str">
        <f>IF(D$34="","",LEFT(基本設定!F9,1))</f>
        <v/>
      </c>
      <c r="E41" s="16" t="str">
        <f>IF(E$34="","",LEFT(基本設定!G9,1))</f>
        <v/>
      </c>
      <c r="F41" s="16" t="str">
        <f>IF(F$34="","",LEFT(基本設定!H9,1))</f>
        <v/>
      </c>
      <c r="G41" s="16" t="str">
        <f>IF(G$34="","",LEFT(基本設定!I9,1))</f>
        <v>−</v>
      </c>
      <c r="H41" s="18"/>
      <c r="I41" s="18"/>
      <c r="J41" s="16" t="str">
        <f>LEFT(基本設定!E9,1)</f>
        <v>−</v>
      </c>
      <c r="K41" s="16" t="str">
        <f>LEFT(基本設定!F9,1)</f>
        <v>−</v>
      </c>
      <c r="L41" s="16" t="str">
        <f>LEFT(基本設定!G9,1)</f>
        <v>−</v>
      </c>
      <c r="M41" s="16" t="str">
        <f>LEFT(基本設定!H9,1)</f>
        <v>−</v>
      </c>
      <c r="N41" s="16" t="str">
        <f>LEFT(基本設定!I9,1)</f>
        <v>−</v>
      </c>
      <c r="O41" s="18"/>
      <c r="P41" s="18"/>
      <c r="Q41" s="16" t="str">
        <f>IF(AND($Q$34&gt;=15,$Q$34&lt;=21),"",LEFT(基本設定!$E9,1))</f>
        <v>−</v>
      </c>
      <c r="R41" s="16" t="str">
        <f>LEFT(基本設定!F9,1)</f>
        <v>−</v>
      </c>
      <c r="S41" s="16" t="str">
        <f>LEFT(基本設定!G9,1)</f>
        <v>−</v>
      </c>
      <c r="T41" s="16" t="str">
        <f>LEFT(基本設定!H9,1)</f>
        <v>−</v>
      </c>
      <c r="U41" s="16" t="str">
        <f>LEFT(基本設定!I9,1)</f>
        <v>−</v>
      </c>
      <c r="V41" s="18"/>
      <c r="W41" s="18"/>
      <c r="X41" s="16" t="str">
        <f>IF(AND($X$34&gt;=15,$X$34&lt;=21),"",IF(X$34&gt;=21,"",LEFT(基本設定!$E9,1)))</f>
        <v/>
      </c>
      <c r="Y41" s="16" t="str">
        <f>IF(Y$34&gt;=21,"",LEFT(基本設定!F9,1))</f>
        <v>−</v>
      </c>
      <c r="Z41" s="16" t="str">
        <f>IF(Z$34&gt;=21,"",LEFT(基本設定!G9,1))</f>
        <v>−</v>
      </c>
      <c r="AA41" s="16" t="str">
        <f>IF(AA$34&gt;=21,"",LEFT(基本設定!H9,1))</f>
        <v/>
      </c>
      <c r="AB41" s="16" t="str">
        <f>IF(AB$34&gt;=21,"",LEFT(基本設定!I9,1))</f>
        <v/>
      </c>
      <c r="AC41" s="18"/>
      <c r="AD41" s="18"/>
      <c r="AE41" s="16"/>
      <c r="AF41" s="16"/>
      <c r="AG41" s="16"/>
      <c r="AH41" s="16"/>
      <c r="AI41" s="16"/>
      <c r="AJ41" s="18"/>
      <c r="AK41" s="18"/>
      <c r="AL41" s="16"/>
      <c r="AM41" s="16"/>
    </row>
    <row r="43" spans="2:39" x14ac:dyDescent="0.15">
      <c r="B43" s="13">
        <v>8</v>
      </c>
      <c r="C43" s="14" t="s">
        <v>26</v>
      </c>
    </row>
    <row r="44" spans="2:39" x14ac:dyDescent="0.15">
      <c r="B44" s="5"/>
      <c r="C44" s="5">
        <f>IF(WEEKDAY(DATE($C$1+1988,$B$43,1),2)=1,1,"")</f>
        <v>1</v>
      </c>
      <c r="D44" s="5">
        <f>IF(C44="",IF(WEEKDAY(DATE($C$1+1988,$B$43,1),2)=2,1,""),C44+1)</f>
        <v>2</v>
      </c>
      <c r="E44" s="5">
        <f>IF(D44="",IF(WEEKDAY(DATE($C$1+1988,$B$43,1),2)=3,1,""),D44+1)</f>
        <v>3</v>
      </c>
      <c r="F44" s="5">
        <f>IF(E44="",IF(WEEKDAY(DATE($C$1+1988,$B$43,1),2)=4,1,""),E44+1)</f>
        <v>4</v>
      </c>
      <c r="G44" s="5">
        <f>IF(F44="",IF(WEEKDAY(DATE($C$1+1988,$B$43,1),2)=5,1,""),F44+1)</f>
        <v>5</v>
      </c>
      <c r="H44" s="5">
        <f>IF(G44="",IF(WEEKDAY(DATE($C$1+1988,$B$43,1),2)=6,1,""),G44+1)</f>
        <v>6</v>
      </c>
      <c r="I44" s="5">
        <f>IF(H44="",IF(WEEKDAY(DATE($C$1+1988,$B$43,1),2)=7,1,""),H44+1)</f>
        <v>7</v>
      </c>
      <c r="J44" s="5">
        <f>I44+1</f>
        <v>8</v>
      </c>
      <c r="K44" s="5">
        <f t="shared" ref="K44" si="73">J44+1</f>
        <v>9</v>
      </c>
      <c r="L44" s="5">
        <f t="shared" ref="L44" si="74">K44+1</f>
        <v>10</v>
      </c>
      <c r="M44" s="5">
        <f t="shared" ref="M44" si="75">L44+1</f>
        <v>11</v>
      </c>
      <c r="N44" s="5">
        <f t="shared" ref="N44" si="76">M44+1</f>
        <v>12</v>
      </c>
      <c r="O44" s="5">
        <f t="shared" ref="O44" si="77">N44+1</f>
        <v>13</v>
      </c>
      <c r="P44" s="5">
        <f t="shared" ref="P44" si="78">O44+1</f>
        <v>14</v>
      </c>
      <c r="Q44" s="5">
        <f t="shared" ref="Q44" si="79">P44+1</f>
        <v>15</v>
      </c>
      <c r="R44" s="5">
        <f t="shared" ref="R44" si="80">Q44+1</f>
        <v>16</v>
      </c>
      <c r="S44" s="5">
        <f t="shared" ref="S44" si="81">R44+1</f>
        <v>17</v>
      </c>
      <c r="T44" s="5">
        <f t="shared" ref="T44" si="82">S44+1</f>
        <v>18</v>
      </c>
      <c r="U44" s="5">
        <f t="shared" ref="U44" si="83">T44+1</f>
        <v>19</v>
      </c>
      <c r="V44" s="8">
        <f t="shared" ref="V44" si="84">U44+1</f>
        <v>20</v>
      </c>
      <c r="W44" s="8">
        <f t="shared" ref="W44" si="85">V44+1</f>
        <v>21</v>
      </c>
      <c r="X44" s="5">
        <f t="shared" ref="X44" si="86">W44+1</f>
        <v>22</v>
      </c>
      <c r="Y44" s="5">
        <f t="shared" ref="Y44" si="87">X44+1</f>
        <v>23</v>
      </c>
      <c r="Z44" s="5">
        <f t="shared" ref="Z44" si="88">Y44+1</f>
        <v>24</v>
      </c>
      <c r="AA44" s="5">
        <f t="shared" ref="AA44" si="89">Z44+1</f>
        <v>25</v>
      </c>
      <c r="AB44" s="5">
        <f t="shared" ref="AB44" si="90">AA44+1</f>
        <v>26</v>
      </c>
      <c r="AC44" s="8">
        <f t="shared" ref="AC44" si="91">AB44+1</f>
        <v>27</v>
      </c>
      <c r="AD44" s="8">
        <f t="shared" ref="AD44" si="92">AC44+1</f>
        <v>28</v>
      </c>
      <c r="AE44" s="5">
        <f t="shared" ref="AE44" si="93">AD44+1</f>
        <v>29</v>
      </c>
      <c r="AF44" s="5">
        <f>IFERROR(IF(AE44=31,"",AE44+1),"")</f>
        <v>30</v>
      </c>
      <c r="AG44" s="5">
        <f t="shared" ref="AG44" si="94">IFERROR(IF(AF44=31,"",AF44+1),"")</f>
        <v>31</v>
      </c>
      <c r="AH44" s="5" t="str">
        <f t="shared" ref="AH44" si="95">IFERROR(IF(AG44=31,"",AG44+1),"")</f>
        <v/>
      </c>
      <c r="AI44" s="5" t="str">
        <f t="shared" ref="AI44" si="96">IFERROR(IF(AH44=31,"",AH44+1),"")</f>
        <v/>
      </c>
      <c r="AJ44" s="8" t="str">
        <f t="shared" ref="AJ44" si="97">IFERROR(IF(AI44=31,"",AI44+1),"")</f>
        <v/>
      </c>
      <c r="AK44" s="8" t="str">
        <f t="shared" ref="AK44" si="98">IFERROR(IF(AJ44=31,"",AJ44+1),"")</f>
        <v/>
      </c>
      <c r="AL44" s="5" t="str">
        <f t="shared" ref="AL44" si="99">IFERROR(IF(AK44=31,"",AK44+1),"")</f>
        <v/>
      </c>
      <c r="AM44" s="5" t="str">
        <f t="shared" ref="AM44" si="100">IFERROR(IF(AL44=31,"",AL44+1),"")</f>
        <v/>
      </c>
    </row>
    <row r="45" spans="2:39" x14ac:dyDescent="0.15">
      <c r="B45" s="5" t="s">
        <v>29</v>
      </c>
      <c r="C45" s="5" t="s">
        <v>3</v>
      </c>
      <c r="D45" s="5" t="s">
        <v>22</v>
      </c>
      <c r="E45" s="5" t="s">
        <v>23</v>
      </c>
      <c r="F45" s="5" t="s">
        <v>24</v>
      </c>
      <c r="G45" s="5" t="s">
        <v>25</v>
      </c>
      <c r="H45" s="5" t="s">
        <v>27</v>
      </c>
      <c r="I45" s="5" t="s">
        <v>28</v>
      </c>
      <c r="J45" s="5" t="s">
        <v>2</v>
      </c>
      <c r="K45" s="5" t="s">
        <v>4</v>
      </c>
      <c r="L45" s="5" t="s">
        <v>5</v>
      </c>
      <c r="M45" s="5" t="s">
        <v>6</v>
      </c>
      <c r="N45" s="5" t="s">
        <v>7</v>
      </c>
      <c r="O45" s="5" t="s">
        <v>27</v>
      </c>
      <c r="P45" s="5" t="s">
        <v>28</v>
      </c>
      <c r="Q45" s="5" t="s">
        <v>2</v>
      </c>
      <c r="R45" s="5" t="s">
        <v>4</v>
      </c>
      <c r="S45" s="5" t="s">
        <v>5</v>
      </c>
      <c r="T45" s="5" t="s">
        <v>6</v>
      </c>
      <c r="U45" s="5" t="s">
        <v>7</v>
      </c>
      <c r="V45" s="8" t="s">
        <v>27</v>
      </c>
      <c r="W45" s="8" t="s">
        <v>28</v>
      </c>
      <c r="X45" s="5" t="s">
        <v>2</v>
      </c>
      <c r="Y45" s="5" t="s">
        <v>4</v>
      </c>
      <c r="Z45" s="5" t="s">
        <v>5</v>
      </c>
      <c r="AA45" s="5" t="s">
        <v>6</v>
      </c>
      <c r="AB45" s="5" t="s">
        <v>7</v>
      </c>
      <c r="AC45" s="8" t="s">
        <v>27</v>
      </c>
      <c r="AD45" s="8" t="s">
        <v>28</v>
      </c>
      <c r="AE45" s="5" t="s">
        <v>2</v>
      </c>
      <c r="AF45" s="5" t="s">
        <v>4</v>
      </c>
      <c r="AG45" s="5" t="s">
        <v>5</v>
      </c>
      <c r="AH45" s="5" t="s">
        <v>6</v>
      </c>
      <c r="AI45" s="5" t="s">
        <v>7</v>
      </c>
      <c r="AJ45" s="8" t="s">
        <v>27</v>
      </c>
      <c r="AK45" s="8" t="s">
        <v>28</v>
      </c>
      <c r="AL45" s="5" t="s">
        <v>2</v>
      </c>
      <c r="AM45" s="5" t="s">
        <v>4</v>
      </c>
    </row>
    <row r="46" spans="2:39" x14ac:dyDescent="0.15">
      <c r="B46" s="5">
        <v>1</v>
      </c>
      <c r="C46" s="16"/>
      <c r="D46" s="16"/>
      <c r="E46" s="16"/>
      <c r="F46" s="16"/>
      <c r="G46" s="16"/>
      <c r="H46" s="18"/>
      <c r="I46" s="18"/>
      <c r="J46" s="16"/>
      <c r="K46" s="16"/>
      <c r="L46" s="16"/>
      <c r="M46" s="16"/>
      <c r="N46" s="16"/>
      <c r="O46" s="18"/>
      <c r="P46" s="18"/>
      <c r="Q46" s="16"/>
      <c r="R46" s="16"/>
      <c r="S46" s="16"/>
      <c r="T46" s="16"/>
      <c r="U46" s="16"/>
      <c r="V46" s="18"/>
      <c r="W46" s="18"/>
      <c r="X46" s="16"/>
      <c r="Y46" s="16"/>
      <c r="Z46" s="16"/>
      <c r="AA46" s="16"/>
      <c r="AB46" s="16"/>
      <c r="AC46" s="18"/>
      <c r="AD46" s="18"/>
      <c r="AE46" s="16" t="str">
        <f>IF(AE$44&lt;=26,"",LEFT(基本設定!E4,1))</f>
        <v>−</v>
      </c>
      <c r="AF46" s="16" t="str">
        <f>IF(AF$44&lt;=26,"",LEFT(基本設定!F4,1))</f>
        <v>−</v>
      </c>
      <c r="AG46" s="16" t="str">
        <f>IF(AG$44&lt;=26,"",LEFT(基本設定!G4,1))</f>
        <v>−</v>
      </c>
      <c r="AH46" s="16" t="str">
        <f>IF(AH$44="","",IF(AH$44&lt;=26,"",LEFT(基本設定!H4,1)))</f>
        <v/>
      </c>
      <c r="AI46" s="16" t="str">
        <f>IF(AI$44="","",IF(AI$44&lt;=26,"",LEFT(基本設定!I4,1)))</f>
        <v/>
      </c>
      <c r="AJ46" s="18"/>
      <c r="AK46" s="18"/>
      <c r="AL46" s="16" t="str">
        <f>IF(AL$44="","",LEFT(基本設定!E4,1))</f>
        <v/>
      </c>
      <c r="AM46" s="16" t="str">
        <f>IF(AM$44="","",LEFT(基本設定!F4,1))</f>
        <v/>
      </c>
    </row>
    <row r="47" spans="2:39" x14ac:dyDescent="0.15">
      <c r="B47" s="5">
        <v>2</v>
      </c>
      <c r="C47" s="16"/>
      <c r="D47" s="16"/>
      <c r="E47" s="16"/>
      <c r="F47" s="16"/>
      <c r="G47" s="16"/>
      <c r="H47" s="18"/>
      <c r="I47" s="18"/>
      <c r="J47" s="16"/>
      <c r="K47" s="16"/>
      <c r="L47" s="16"/>
      <c r="M47" s="16"/>
      <c r="N47" s="16"/>
      <c r="O47" s="18"/>
      <c r="P47" s="18"/>
      <c r="Q47" s="16"/>
      <c r="R47" s="16"/>
      <c r="S47" s="16"/>
      <c r="T47" s="16"/>
      <c r="U47" s="16"/>
      <c r="V47" s="18"/>
      <c r="W47" s="18"/>
      <c r="X47" s="16"/>
      <c r="Y47" s="16"/>
      <c r="Z47" s="16"/>
      <c r="AA47" s="16"/>
      <c r="AB47" s="16"/>
      <c r="AC47" s="18"/>
      <c r="AD47" s="18"/>
      <c r="AE47" s="16" t="str">
        <f>IF(AE$44&lt;=26,"",LEFT(基本設定!E5,1))</f>
        <v>−</v>
      </c>
      <c r="AF47" s="16" t="str">
        <f>IF(AF$44&lt;=26,"",LEFT(基本設定!F5,1))</f>
        <v>−</v>
      </c>
      <c r="AG47" s="16" t="str">
        <f>IF(AG$44&lt;=26,"",LEFT(基本設定!G5,1))</f>
        <v>−</v>
      </c>
      <c r="AH47" s="16" t="str">
        <f>IF(AH$44="","",IF(AH$44&lt;=26,"",LEFT(基本設定!H5,1)))</f>
        <v/>
      </c>
      <c r="AI47" s="16" t="str">
        <f>IF(AI$44="","",IF(AI$44&lt;=26,"",LEFT(基本設定!I5,1)))</f>
        <v/>
      </c>
      <c r="AJ47" s="18"/>
      <c r="AK47" s="18"/>
      <c r="AL47" s="16" t="str">
        <f>IF(AL$44="","",LEFT(基本設定!E5,1))</f>
        <v/>
      </c>
      <c r="AM47" s="16" t="str">
        <f>IF(AM$44="","",LEFT(基本設定!F5,1))</f>
        <v/>
      </c>
    </row>
    <row r="48" spans="2:39" x14ac:dyDescent="0.15">
      <c r="B48" s="5">
        <v>3</v>
      </c>
      <c r="C48" s="16"/>
      <c r="D48" s="16"/>
      <c r="E48" s="16"/>
      <c r="F48" s="16"/>
      <c r="G48" s="16"/>
      <c r="H48" s="18"/>
      <c r="I48" s="18"/>
      <c r="J48" s="16"/>
      <c r="K48" s="16"/>
      <c r="L48" s="16"/>
      <c r="M48" s="16"/>
      <c r="N48" s="16"/>
      <c r="O48" s="18"/>
      <c r="P48" s="18"/>
      <c r="Q48" s="16"/>
      <c r="R48" s="16"/>
      <c r="S48" s="16"/>
      <c r="T48" s="16"/>
      <c r="U48" s="16"/>
      <c r="V48" s="18"/>
      <c r="W48" s="18"/>
      <c r="X48" s="16"/>
      <c r="Y48" s="16"/>
      <c r="Z48" s="16"/>
      <c r="AA48" s="16"/>
      <c r="AB48" s="16"/>
      <c r="AC48" s="18"/>
      <c r="AD48" s="18"/>
      <c r="AE48" s="16" t="str">
        <f>IF(AE$44&lt;=26,"",LEFT(基本設定!E6,1))</f>
        <v>−</v>
      </c>
      <c r="AF48" s="16" t="str">
        <f>IF(AF$44&lt;=26,"",LEFT(基本設定!F6,1))</f>
        <v>−</v>
      </c>
      <c r="AG48" s="16" t="str">
        <f>IF(AG$44&lt;=26,"",LEFT(基本設定!G6,1))</f>
        <v>−</v>
      </c>
      <c r="AH48" s="16" t="str">
        <f>IF(AH$44="","",IF(AH$44&lt;=26,"",LEFT(基本設定!H6,1)))</f>
        <v/>
      </c>
      <c r="AI48" s="16" t="str">
        <f>IF(AI$44="","",IF(AI$44&lt;=26,"",LEFT(基本設定!I6,1)))</f>
        <v/>
      </c>
      <c r="AJ48" s="18"/>
      <c r="AK48" s="18"/>
      <c r="AL48" s="16" t="str">
        <f>IF(AL$44="","",LEFT(基本設定!E6,1))</f>
        <v/>
      </c>
      <c r="AM48" s="16" t="str">
        <f>IF(AM$44="","",LEFT(基本設定!F6,1))</f>
        <v/>
      </c>
    </row>
    <row r="49" spans="2:39" x14ac:dyDescent="0.15">
      <c r="B49" s="5">
        <v>4</v>
      </c>
      <c r="C49" s="16"/>
      <c r="D49" s="16"/>
      <c r="E49" s="16"/>
      <c r="F49" s="16"/>
      <c r="G49" s="16"/>
      <c r="H49" s="18"/>
      <c r="I49" s="18"/>
      <c r="J49" s="16"/>
      <c r="K49" s="16"/>
      <c r="L49" s="16"/>
      <c r="M49" s="16"/>
      <c r="N49" s="16"/>
      <c r="O49" s="18"/>
      <c r="P49" s="18"/>
      <c r="Q49" s="16"/>
      <c r="R49" s="16"/>
      <c r="S49" s="16"/>
      <c r="T49" s="16"/>
      <c r="U49" s="16"/>
      <c r="V49" s="18"/>
      <c r="W49" s="18"/>
      <c r="X49" s="16"/>
      <c r="Y49" s="16"/>
      <c r="Z49" s="16"/>
      <c r="AA49" s="16"/>
      <c r="AB49" s="16"/>
      <c r="AC49" s="18"/>
      <c r="AD49" s="18"/>
      <c r="AE49" s="16" t="str">
        <f>IF(AE$44&lt;=26,"",LEFT(基本設定!E7,1))</f>
        <v>−</v>
      </c>
      <c r="AF49" s="16" t="str">
        <f>IF(AF$44&lt;=26,"",LEFT(基本設定!F7,1))</f>
        <v>−</v>
      </c>
      <c r="AG49" s="16" t="str">
        <f>IF(AG$44&lt;=26,"",LEFT(基本設定!G7,1))</f>
        <v>−</v>
      </c>
      <c r="AH49" s="16" t="str">
        <f>IF(AH$44="","",IF(AH$44&lt;=26,"",LEFT(基本設定!H7,1)))</f>
        <v/>
      </c>
      <c r="AI49" s="16" t="str">
        <f>IF(AI$44="","",IF(AI$44&lt;=26,"",LEFT(基本設定!I7,1)))</f>
        <v/>
      </c>
      <c r="AJ49" s="18"/>
      <c r="AK49" s="18"/>
      <c r="AL49" s="16" t="str">
        <f>IF(AL$44="","",LEFT(基本設定!E7,1))</f>
        <v/>
      </c>
      <c r="AM49" s="16" t="str">
        <f>IF(AM$44="","",LEFT(基本設定!F7,1))</f>
        <v/>
      </c>
    </row>
    <row r="50" spans="2:39" x14ac:dyDescent="0.15">
      <c r="B50" s="5">
        <v>5</v>
      </c>
      <c r="C50" s="16"/>
      <c r="D50" s="16"/>
      <c r="E50" s="16"/>
      <c r="F50" s="16"/>
      <c r="G50" s="16"/>
      <c r="H50" s="18"/>
      <c r="I50" s="18"/>
      <c r="J50" s="16"/>
      <c r="K50" s="16"/>
      <c r="L50" s="16"/>
      <c r="M50" s="16"/>
      <c r="N50" s="16"/>
      <c r="O50" s="18"/>
      <c r="P50" s="18"/>
      <c r="Q50" s="16"/>
      <c r="R50" s="16"/>
      <c r="S50" s="16"/>
      <c r="T50" s="16"/>
      <c r="U50" s="16"/>
      <c r="V50" s="18"/>
      <c r="W50" s="18"/>
      <c r="X50" s="16"/>
      <c r="Y50" s="16"/>
      <c r="Z50" s="16"/>
      <c r="AA50" s="16"/>
      <c r="AB50" s="16"/>
      <c r="AC50" s="18"/>
      <c r="AD50" s="18"/>
      <c r="AE50" s="16" t="str">
        <f>IF(AE$44&lt;=26,"",LEFT(基本設定!E8,1))</f>
        <v>−</v>
      </c>
      <c r="AF50" s="16" t="str">
        <f>IF(AF$44&lt;=26,"",LEFT(基本設定!F8,1))</f>
        <v>−</v>
      </c>
      <c r="AG50" s="16" t="str">
        <f>IF(AG$44&lt;=26,"",LEFT(基本設定!G8,1))</f>
        <v>−</v>
      </c>
      <c r="AH50" s="16" t="str">
        <f>IF(AH$44="","",IF(AH$44&lt;=26,"",LEFT(基本設定!H8,1)))</f>
        <v/>
      </c>
      <c r="AI50" s="16" t="str">
        <f>IF(AI$44="","",IF(AI$44&lt;=26,"",LEFT(基本設定!I8,1)))</f>
        <v/>
      </c>
      <c r="AJ50" s="18"/>
      <c r="AK50" s="18"/>
      <c r="AL50" s="16" t="str">
        <f>IF(AL$44="","",LEFT(基本設定!E8,1))</f>
        <v/>
      </c>
      <c r="AM50" s="16" t="str">
        <f>IF(AM$44="","",LEFT(基本設定!F8,1))</f>
        <v/>
      </c>
    </row>
    <row r="51" spans="2:39" x14ac:dyDescent="0.15">
      <c r="B51" s="5">
        <v>6</v>
      </c>
      <c r="C51" s="16"/>
      <c r="D51" s="16"/>
      <c r="E51" s="16"/>
      <c r="F51" s="16"/>
      <c r="G51" s="16"/>
      <c r="H51" s="18"/>
      <c r="I51" s="18"/>
      <c r="J51" s="16"/>
      <c r="K51" s="16"/>
      <c r="L51" s="16"/>
      <c r="M51" s="16"/>
      <c r="N51" s="16"/>
      <c r="O51" s="18"/>
      <c r="P51" s="18"/>
      <c r="Q51" s="16"/>
      <c r="R51" s="16"/>
      <c r="S51" s="16"/>
      <c r="T51" s="16"/>
      <c r="U51" s="16"/>
      <c r="V51" s="18"/>
      <c r="W51" s="18"/>
      <c r="X51" s="16"/>
      <c r="Y51" s="16"/>
      <c r="Z51" s="16"/>
      <c r="AA51" s="16"/>
      <c r="AB51" s="16"/>
      <c r="AC51" s="18"/>
      <c r="AD51" s="18"/>
      <c r="AE51" s="16" t="str">
        <f>IF(AE$44&lt;=26,"",LEFT(基本設定!E9,1))</f>
        <v>−</v>
      </c>
      <c r="AF51" s="16" t="str">
        <f>IF(AF$44&lt;=26,"",LEFT(基本設定!F9,1))</f>
        <v>−</v>
      </c>
      <c r="AG51" s="16" t="str">
        <f>IF(AG$44&lt;=26,"",LEFT(基本設定!G9,1))</f>
        <v>−</v>
      </c>
      <c r="AH51" s="16" t="str">
        <f>IF(AH$44="","",IF(AH$44&lt;=26,"",LEFT(基本設定!H9,1)))</f>
        <v/>
      </c>
      <c r="AI51" s="16" t="str">
        <f>IF(AI$44="","",IF(AI$44&lt;=26,"",LEFT(基本設定!I9,1)))</f>
        <v/>
      </c>
      <c r="AJ51" s="18"/>
      <c r="AK51" s="18"/>
      <c r="AL51" s="16" t="str">
        <f>IF(AL$44="","",LEFT(基本設定!E9,1))</f>
        <v/>
      </c>
      <c r="AM51" s="16" t="str">
        <f>IF(AM$44="","",LEFT(基本設定!F9,1))</f>
        <v/>
      </c>
    </row>
    <row r="53" spans="2:39" x14ac:dyDescent="0.15">
      <c r="B53" s="13">
        <v>9</v>
      </c>
      <c r="C53" s="14" t="s">
        <v>26</v>
      </c>
    </row>
    <row r="54" spans="2:39" x14ac:dyDescent="0.15">
      <c r="B54" s="5"/>
      <c r="C54" s="5" t="str">
        <f>IF(WEEKDAY(DATE($C$1+1988,$B$53,1),2)=1,1,"")</f>
        <v/>
      </c>
      <c r="D54" s="5" t="str">
        <f>IF(C54="",IF(WEEKDAY(DATE($C$1+1988,$B$53,1),2)=2,1,""),C54+1)</f>
        <v/>
      </c>
      <c r="E54" s="5" t="str">
        <f>IF(D54="",IF(WEEKDAY(DATE($C$1+1988,$B$53,1),2)=3,1,""),D54+1)</f>
        <v/>
      </c>
      <c r="F54" s="5">
        <f>IF(E54="",IF(WEEKDAY(DATE($C$1+1988,$B$53,1),2)=4,1,""),E54+1)</f>
        <v>1</v>
      </c>
      <c r="G54" s="5">
        <f>IF(F54="",IF(WEEKDAY(DATE($C$1+1988,$B$53,1),2)=5,1,""),F54+1)</f>
        <v>2</v>
      </c>
      <c r="H54" s="8">
        <f>IF(G54="",IF(WEEKDAY(DATE($C$1+1988,$B$53,1),2)=6,1,""),G54+1)</f>
        <v>3</v>
      </c>
      <c r="I54" s="8">
        <f>IF(H54="",IF(WEEKDAY(DATE($C$1+1988,$B$53,1),2)=7,1,""),H54+1)</f>
        <v>4</v>
      </c>
      <c r="J54" s="5">
        <f>I54+1</f>
        <v>5</v>
      </c>
      <c r="K54" s="5">
        <f t="shared" ref="K54" si="101">J54+1</f>
        <v>6</v>
      </c>
      <c r="L54" s="5">
        <f t="shared" ref="L54" si="102">K54+1</f>
        <v>7</v>
      </c>
      <c r="M54" s="5">
        <f t="shared" ref="M54" si="103">L54+1</f>
        <v>8</v>
      </c>
      <c r="N54" s="5">
        <f t="shared" ref="N54" si="104">M54+1</f>
        <v>9</v>
      </c>
      <c r="O54" s="8">
        <f t="shared" ref="O54" si="105">N54+1</f>
        <v>10</v>
      </c>
      <c r="P54" s="8">
        <f t="shared" ref="P54" si="106">O54+1</f>
        <v>11</v>
      </c>
      <c r="Q54" s="5">
        <f t="shared" ref="Q54" si="107">P54+1</f>
        <v>12</v>
      </c>
      <c r="R54" s="5">
        <f t="shared" ref="R54" si="108">Q54+1</f>
        <v>13</v>
      </c>
      <c r="S54" s="5">
        <f t="shared" ref="S54" si="109">R54+1</f>
        <v>14</v>
      </c>
      <c r="T54" s="5">
        <f t="shared" ref="T54" si="110">S54+1</f>
        <v>15</v>
      </c>
      <c r="U54" s="5">
        <f t="shared" ref="U54" si="111">T54+1</f>
        <v>16</v>
      </c>
      <c r="V54" s="8">
        <f t="shared" ref="V54" si="112">U54+1</f>
        <v>17</v>
      </c>
      <c r="W54" s="8">
        <f t="shared" ref="W54" si="113">V54+1</f>
        <v>18</v>
      </c>
      <c r="X54" s="5">
        <f t="shared" ref="X54" si="114">W54+1</f>
        <v>19</v>
      </c>
      <c r="Y54" s="5">
        <f t="shared" ref="Y54" si="115">X54+1</f>
        <v>20</v>
      </c>
      <c r="Z54" s="5">
        <f t="shared" ref="Z54" si="116">Y54+1</f>
        <v>21</v>
      </c>
      <c r="AA54" s="5">
        <f t="shared" ref="AA54" si="117">Z54+1</f>
        <v>22</v>
      </c>
      <c r="AB54" s="5">
        <f t="shared" ref="AB54" si="118">AA54+1</f>
        <v>23</v>
      </c>
      <c r="AC54" s="8">
        <f t="shared" ref="AC54" si="119">AB54+1</f>
        <v>24</v>
      </c>
      <c r="AD54" s="8">
        <f t="shared" ref="AD54" si="120">AC54+1</f>
        <v>25</v>
      </c>
      <c r="AE54" s="5">
        <f t="shared" ref="AE54" si="121">AD54+1</f>
        <v>26</v>
      </c>
      <c r="AF54" s="5">
        <f t="shared" ref="AF54:AL54" si="122">IFERROR(IF(AE54=30,"",AE54+1),"")</f>
        <v>27</v>
      </c>
      <c r="AG54" s="5">
        <f t="shared" si="122"/>
        <v>28</v>
      </c>
      <c r="AH54" s="5">
        <f t="shared" si="122"/>
        <v>29</v>
      </c>
      <c r="AI54" s="5">
        <f t="shared" si="122"/>
        <v>30</v>
      </c>
      <c r="AJ54" s="8" t="str">
        <f t="shared" si="122"/>
        <v/>
      </c>
      <c r="AK54" s="8" t="str">
        <f t="shared" si="122"/>
        <v/>
      </c>
      <c r="AL54" s="5" t="str">
        <f t="shared" si="122"/>
        <v/>
      </c>
    </row>
    <row r="55" spans="2:39" x14ac:dyDescent="0.15">
      <c r="B55" s="5" t="s">
        <v>29</v>
      </c>
      <c r="C55" s="5" t="s">
        <v>3</v>
      </c>
      <c r="D55" s="5" t="s">
        <v>22</v>
      </c>
      <c r="E55" s="5" t="s">
        <v>23</v>
      </c>
      <c r="F55" s="5" t="s">
        <v>24</v>
      </c>
      <c r="G55" s="5" t="s">
        <v>25</v>
      </c>
      <c r="H55" s="8" t="s">
        <v>27</v>
      </c>
      <c r="I55" s="8" t="s">
        <v>28</v>
      </c>
      <c r="J55" s="5" t="s">
        <v>2</v>
      </c>
      <c r="K55" s="5" t="s">
        <v>4</v>
      </c>
      <c r="L55" s="5" t="s">
        <v>5</v>
      </c>
      <c r="M55" s="5" t="s">
        <v>6</v>
      </c>
      <c r="N55" s="5" t="s">
        <v>7</v>
      </c>
      <c r="O55" s="8" t="s">
        <v>27</v>
      </c>
      <c r="P55" s="8" t="s">
        <v>28</v>
      </c>
      <c r="Q55" s="5" t="s">
        <v>2</v>
      </c>
      <c r="R55" s="5" t="s">
        <v>4</v>
      </c>
      <c r="S55" s="5" t="s">
        <v>5</v>
      </c>
      <c r="T55" s="5" t="s">
        <v>6</v>
      </c>
      <c r="U55" s="5" t="s">
        <v>7</v>
      </c>
      <c r="V55" s="8" t="s">
        <v>27</v>
      </c>
      <c r="W55" s="8" t="s">
        <v>28</v>
      </c>
      <c r="X55" s="5" t="s">
        <v>2</v>
      </c>
      <c r="Y55" s="5" t="s">
        <v>4</v>
      </c>
      <c r="Z55" s="5" t="s">
        <v>5</v>
      </c>
      <c r="AA55" s="5" t="s">
        <v>6</v>
      </c>
      <c r="AB55" s="5" t="s">
        <v>7</v>
      </c>
      <c r="AC55" s="8" t="s">
        <v>27</v>
      </c>
      <c r="AD55" s="8" t="s">
        <v>28</v>
      </c>
      <c r="AE55" s="5" t="s">
        <v>2</v>
      </c>
      <c r="AF55" s="5" t="s">
        <v>4</v>
      </c>
      <c r="AG55" s="5" t="s">
        <v>5</v>
      </c>
      <c r="AH55" s="5" t="s">
        <v>6</v>
      </c>
      <c r="AI55" s="5" t="s">
        <v>7</v>
      </c>
      <c r="AJ55" s="8" t="s">
        <v>27</v>
      </c>
      <c r="AK55" s="8" t="s">
        <v>28</v>
      </c>
      <c r="AL55" s="5" t="s">
        <v>2</v>
      </c>
    </row>
    <row r="56" spans="2:39" x14ac:dyDescent="0.15">
      <c r="B56" s="5">
        <v>1</v>
      </c>
      <c r="C56" s="16" t="str">
        <f>IF(C$54="","",LEFT(基本設定!E4,1))</f>
        <v/>
      </c>
      <c r="D56" s="16" t="str">
        <f>IF(D$54="","",LEFT(基本設定!F4,1))</f>
        <v/>
      </c>
      <c r="E56" s="16" t="str">
        <f>IF(E$54="","",LEFT(基本設定!G4,1))</f>
        <v/>
      </c>
      <c r="F56" s="16" t="str">
        <f>IF(F$54="","",LEFT(基本設定!H4,1))</f>
        <v>−</v>
      </c>
      <c r="G56" s="16" t="str">
        <f>IF(G$54="","",LEFT(基本設定!I4,1))</f>
        <v>−</v>
      </c>
      <c r="H56" s="18"/>
      <c r="I56" s="18"/>
      <c r="J56" s="16" t="str">
        <f>LEFT(基本設定!E4,1)</f>
        <v>−</v>
      </c>
      <c r="K56" s="16" t="str">
        <f>LEFT(基本設定!F4,1)</f>
        <v>−</v>
      </c>
      <c r="L56" s="16" t="str">
        <f>LEFT(基本設定!G4,1)</f>
        <v>−</v>
      </c>
      <c r="M56" s="16" t="str">
        <f>LEFT(基本設定!H4,1)</f>
        <v>−</v>
      </c>
      <c r="N56" s="16" t="str">
        <f>LEFT(基本設定!I4,1)</f>
        <v>−</v>
      </c>
      <c r="O56" s="18"/>
      <c r="P56" s="18"/>
      <c r="Q56" s="16" t="str">
        <f>IF(AND(Q$54&gt;=15,Q$54&lt;=21),"敬",LEFT(基本設定!E4,1))</f>
        <v>−</v>
      </c>
      <c r="R56" s="16" t="str">
        <f>LEFT(基本設定!F4,1)</f>
        <v>−</v>
      </c>
      <c r="S56" s="16" t="str">
        <f>LEFT(基本設定!G4,1)</f>
        <v>−</v>
      </c>
      <c r="T56" s="16" t="str">
        <f>LEFT(基本設定!H4,1)</f>
        <v>−</v>
      </c>
      <c r="U56" s="16" t="str">
        <f>LEFT(基本設定!I4,1)</f>
        <v>−</v>
      </c>
      <c r="V56" s="18"/>
      <c r="W56" s="18"/>
      <c r="X56" s="16" t="str">
        <f>IF(AND(X$54&gt;=15,X$54&lt;=21),"敬",LEFT(基本設定!E4,1))</f>
        <v>敬</v>
      </c>
      <c r="Y56" s="16" t="str">
        <f>IF(AND($X$56="敬",$Z$56="秋"),"",IF(INT(23.2488+0.242194*($C$1+1988-1980))-INT(($C$1+1988-1980)/4)=Y$54,"秋",LEFT(基本設定!F4,1)))</f>
        <v>−</v>
      </c>
      <c r="Z56" s="16" t="str">
        <f>IF(INT(23.2488+0.242194*($C$1+1988-1980))-INT(($C$1+1988-1980)/4)=Z$54,"秋",LEFT(基本設定!G4,1))</f>
        <v>−</v>
      </c>
      <c r="AA56" s="16" t="str">
        <f>IF(INT(23.2488+0.242194*($C$1+1988-1980))-INT(($C$1+1988-1980)/4)=AA$54,"秋",LEFT(基本設定!H4,1))</f>
        <v>−</v>
      </c>
      <c r="AB56" s="16" t="str">
        <f>IF(INT(23.2488+0.242194*($C$1+1988-1980))-INT(($C$1+1988-1980)/4)=AB$54,"秋",LEFT(基本設定!I4,1))</f>
        <v>秋</v>
      </c>
      <c r="AC56" s="18" t="str">
        <f>IF(INT(23.2488+0.242194*($C$1+1988-1980))-INT(($C$1+1988-1980)/4)=AC$54,"秋","")</f>
        <v/>
      </c>
      <c r="AD56" s="18" t="str">
        <f>IF(INT(23.2488+0.242194*($C$1+1988-1980))-INT(($C$1+1988-1980)/4)=AD$54,"秋","")</f>
        <v/>
      </c>
      <c r="AE56" s="16" t="str">
        <f>IF($AD$56="秋","",IF(INT(23.2488+0.242194*($C$1+1988-1980))-INT(($C$1+1988-1980)/4)=AE$54,"秋",LEFT(基本設定!E4,1)))</f>
        <v>−</v>
      </c>
      <c r="AF56" s="16" t="str">
        <f>IF(INT(23.2488+0.242194*($C$1+1988-1980))-INT(($C$1+1988-1980)/4)=AF$54,"秋",LEFT(基本設定!F4,1))</f>
        <v>−</v>
      </c>
      <c r="AG56" s="16" t="str">
        <f>IF(AG$54="","",LEFT(基本設定!G4,1))</f>
        <v>−</v>
      </c>
      <c r="AH56" s="16" t="str">
        <f>IF(AH$54="","",LEFT(基本設定!H4,1))</f>
        <v>−</v>
      </c>
      <c r="AI56" s="16" t="str">
        <f>IF(AI$54="","",LEFT(基本設定!I4,1))</f>
        <v>−</v>
      </c>
      <c r="AJ56" s="18"/>
      <c r="AK56" s="18"/>
      <c r="AL56" s="16" t="str">
        <f>IF(AL$54="","",LEFT(基本設定!E4,1))</f>
        <v/>
      </c>
    </row>
    <row r="57" spans="2:39" x14ac:dyDescent="0.15">
      <c r="B57" s="5">
        <v>2</v>
      </c>
      <c r="C57" s="16" t="str">
        <f>IF(C$54="","",LEFT(基本設定!E5,1))</f>
        <v/>
      </c>
      <c r="D57" s="16" t="str">
        <f>IF(D$54="","",LEFT(基本設定!F5,1))</f>
        <v/>
      </c>
      <c r="E57" s="16" t="str">
        <f>IF(E$54="","",LEFT(基本設定!G5,1))</f>
        <v/>
      </c>
      <c r="F57" s="16" t="str">
        <f>IF(F$54="","",LEFT(基本設定!H5,1))</f>
        <v>−</v>
      </c>
      <c r="G57" s="16" t="str">
        <f>IF(G$54="","",LEFT(基本設定!I5,1))</f>
        <v>−</v>
      </c>
      <c r="H57" s="18"/>
      <c r="I57" s="18"/>
      <c r="J57" s="16" t="str">
        <f>LEFT(基本設定!E5,1)</f>
        <v>−</v>
      </c>
      <c r="K57" s="16" t="str">
        <f>LEFT(基本設定!F5,1)</f>
        <v>−</v>
      </c>
      <c r="L57" s="16" t="str">
        <f>LEFT(基本設定!G5,1)</f>
        <v>−</v>
      </c>
      <c r="M57" s="16" t="str">
        <f>LEFT(基本設定!H5,1)</f>
        <v>−</v>
      </c>
      <c r="N57" s="16" t="str">
        <f>LEFT(基本設定!I5,1)</f>
        <v>−</v>
      </c>
      <c r="O57" s="18"/>
      <c r="P57" s="18"/>
      <c r="Q57" s="16" t="str">
        <f>IF(AND(Q$54&gt;=15,Q$54&lt;=21),"老",LEFT(基本設定!E5,1))</f>
        <v>−</v>
      </c>
      <c r="R57" s="16" t="str">
        <f>LEFT(基本設定!F5,1)</f>
        <v>−</v>
      </c>
      <c r="S57" s="16" t="str">
        <f>LEFT(基本設定!G5,1)</f>
        <v>−</v>
      </c>
      <c r="T57" s="16" t="str">
        <f>LEFT(基本設定!H5,1)</f>
        <v>−</v>
      </c>
      <c r="U57" s="16" t="str">
        <f>LEFT(基本設定!I5,1)</f>
        <v>−</v>
      </c>
      <c r="V57" s="18"/>
      <c r="W57" s="18"/>
      <c r="X57" s="16" t="str">
        <f>IF(AND(X$54&gt;=15,X$54&lt;=21),"老",LEFT(基本設定!E5,1))</f>
        <v>老</v>
      </c>
      <c r="Y57" s="16" t="str">
        <f>IF(AND($X$56="敬",$Z$56="秋"),"休",IF(INT(23.2488+0.242194*($C$1+1988-1980))-INT(($C$1+1988-1980)/4)=Y$54,"分",LEFT(基本設定!F5,1)))</f>
        <v>−</v>
      </c>
      <c r="Z57" s="16" t="str">
        <f>IF(INT(23.2488+0.242194*($C$1+1988-1980))-INT(($C$1+1988-1980)/4)=Z$54,"分",LEFT(基本設定!G5,1))</f>
        <v>−</v>
      </c>
      <c r="AA57" s="16" t="str">
        <f>IF(INT(23.2488+0.242194*($C$1+1988-1980))-INT(($C$1+1988-1980)/4)=AA$54,"分",LEFT(基本設定!H5,1))</f>
        <v>−</v>
      </c>
      <c r="AB57" s="16" t="str">
        <f>IF(INT(23.2488+0.242194*($C$1+1988-1980))-INT(($C$1+1988-1980)/4)=AB$54,"分",LEFT(基本設定!I5,1))</f>
        <v>分</v>
      </c>
      <c r="AC57" s="18" t="str">
        <f>IF(INT(23.2488+0.242194*($C$1+1988-1980))-INT(($C$1+1988-1980)/4)=AC$54,"分","")</f>
        <v/>
      </c>
      <c r="AD57" s="18" t="str">
        <f>IF(INT(23.2488+0.242194*($C$1+1988-1980))-INT(($C$1+1988-1980)/4)=AD$54,"分","")</f>
        <v/>
      </c>
      <c r="AE57" s="16" t="str">
        <f>IF($AD$56="秋","休",IF(INT(23.2488+0.242194*($C$1+1988-1980))-INT(($C$1+1988-1980)/4)=AE$54,"分",LEFT(基本設定!E5,1)))</f>
        <v>−</v>
      </c>
      <c r="AF57" s="16" t="str">
        <f>IF(INT(23.2488+0.242194*($C$1+1988-1980))-INT(($C$1+1988-1980)/4)=AF$54,"分",LEFT(基本設定!F5,1))</f>
        <v>−</v>
      </c>
      <c r="AG57" s="16" t="str">
        <f>IF(AG$54="","",LEFT(基本設定!G5,1))</f>
        <v>−</v>
      </c>
      <c r="AH57" s="16" t="str">
        <f>IF(AH$54="","",LEFT(基本設定!H5,1))</f>
        <v>−</v>
      </c>
      <c r="AI57" s="16" t="str">
        <f>IF(AI$54="","",LEFT(基本設定!I5,1))</f>
        <v>−</v>
      </c>
      <c r="AJ57" s="18"/>
      <c r="AK57" s="18"/>
      <c r="AL57" s="16" t="str">
        <f>IF(AL$54="","",LEFT(基本設定!E5,1))</f>
        <v/>
      </c>
    </row>
    <row r="58" spans="2:39" x14ac:dyDescent="0.15">
      <c r="B58" s="5">
        <v>3</v>
      </c>
      <c r="C58" s="16" t="str">
        <f>IF(C$54="","",LEFT(基本設定!E6,1))</f>
        <v/>
      </c>
      <c r="D58" s="16" t="str">
        <f>IF(D$54="","",LEFT(基本設定!F6,1))</f>
        <v/>
      </c>
      <c r="E58" s="16" t="str">
        <f>IF(E$54="","",LEFT(基本設定!G6,1))</f>
        <v/>
      </c>
      <c r="F58" s="16" t="str">
        <f>IF(F$54="","",LEFT(基本設定!H6,1))</f>
        <v>−</v>
      </c>
      <c r="G58" s="16" t="str">
        <f>IF(G$54="","",LEFT(基本設定!I6,1))</f>
        <v>−</v>
      </c>
      <c r="H58" s="18"/>
      <c r="I58" s="18"/>
      <c r="J58" s="16" t="str">
        <f>LEFT(基本設定!E6,1)</f>
        <v>−</v>
      </c>
      <c r="K58" s="16" t="str">
        <f>LEFT(基本設定!F6,1)</f>
        <v>−</v>
      </c>
      <c r="L58" s="16" t="str">
        <f>LEFT(基本設定!G6,1)</f>
        <v>−</v>
      </c>
      <c r="M58" s="16" t="str">
        <f>LEFT(基本設定!H6,1)</f>
        <v>−</v>
      </c>
      <c r="N58" s="16" t="str">
        <f>LEFT(基本設定!I6,1)</f>
        <v>−</v>
      </c>
      <c r="O58" s="18"/>
      <c r="P58" s="18"/>
      <c r="Q58" s="16" t="str">
        <f>IF(AND(Q$54&gt;=15,Q$54&lt;=21),"の",LEFT(基本設定!E6,1))</f>
        <v>−</v>
      </c>
      <c r="R58" s="16" t="str">
        <f>LEFT(基本設定!F6,1)</f>
        <v>−</v>
      </c>
      <c r="S58" s="16" t="str">
        <f>LEFT(基本設定!G6,1)</f>
        <v>−</v>
      </c>
      <c r="T58" s="16" t="str">
        <f>LEFT(基本設定!H6,1)</f>
        <v>−</v>
      </c>
      <c r="U58" s="16" t="str">
        <f>LEFT(基本設定!I6,1)</f>
        <v>−</v>
      </c>
      <c r="V58" s="18"/>
      <c r="W58" s="18"/>
      <c r="X58" s="16" t="str">
        <f>IF(AND(X$54&gt;=15,X$54&lt;=21),"の",LEFT(基本設定!E6,1))</f>
        <v>の</v>
      </c>
      <c r="Y58" s="16" t="str">
        <f>IF(AND($X$56="敬",$Z$56="秋"),"",IF(INT(23.2488+0.242194*($C$1+1988-1980))-INT(($C$1+1988-1980)/4)=Y$54,"の",LEFT(基本設定!F6,1)))</f>
        <v>−</v>
      </c>
      <c r="Z58" s="16" t="str">
        <f>IF(INT(23.2488+0.242194*($C$1+1988-1980))-INT(($C$1+1988-1980)/4)=Z$54,"の",LEFT(基本設定!G6,1))</f>
        <v>−</v>
      </c>
      <c r="AA58" s="16" t="str">
        <f>IF(INT(23.2488+0.242194*($C$1+1988-1980))-INT(($C$1+1988-1980)/4)=AA$54,"の",LEFT(基本設定!H6,1))</f>
        <v>−</v>
      </c>
      <c r="AB58" s="16" t="str">
        <f>IF(INT(23.2488+0.242194*($C$1+1988-1980))-INT(($C$1+1988-1980)/4)=AB$54,"の",LEFT(基本設定!I6,1))</f>
        <v>の</v>
      </c>
      <c r="AC58" s="18" t="str">
        <f>IF(INT(23.2488+0.242194*($C$1+1988-1980))-INT(($C$1+1988-1980)/4)=AC$54,"の","")</f>
        <v/>
      </c>
      <c r="AD58" s="18" t="str">
        <f>IF(INT(23.2488+0.242194*($C$1+1988-1980))-INT(($C$1+1988-1980)/4)=AD$54,"の","")</f>
        <v/>
      </c>
      <c r="AE58" s="16" t="str">
        <f>IF($AD$56="秋","",IF(INT(23.2488+0.242194*($C$1+1988-1980))-INT(($C$1+1988-1980)/4)=AE$54,"の",LEFT(基本設定!E6,1)))</f>
        <v>−</v>
      </c>
      <c r="AF58" s="16" t="str">
        <f>IF(INT(23.2488+0.242194*($C$1+1988-1980))-INT(($C$1+1988-1980)/4)=AF$54,"の",LEFT(基本設定!F6,1))</f>
        <v>−</v>
      </c>
      <c r="AG58" s="16" t="str">
        <f>IF(AG$54="","",LEFT(基本設定!G6,1))</f>
        <v>−</v>
      </c>
      <c r="AH58" s="16" t="str">
        <f>IF(AH$54="","",LEFT(基本設定!H6,1))</f>
        <v>−</v>
      </c>
      <c r="AI58" s="16" t="str">
        <f>IF(AI$54="","",LEFT(基本設定!I6,1))</f>
        <v>−</v>
      </c>
      <c r="AJ58" s="18"/>
      <c r="AK58" s="18"/>
      <c r="AL58" s="16" t="str">
        <f>IF(AL$54="","",LEFT(基本設定!E6,1))</f>
        <v/>
      </c>
    </row>
    <row r="59" spans="2:39" x14ac:dyDescent="0.15">
      <c r="B59" s="5">
        <v>4</v>
      </c>
      <c r="C59" s="16" t="str">
        <f>IF(C$54="","",LEFT(基本設定!E7,1))</f>
        <v/>
      </c>
      <c r="D59" s="16" t="str">
        <f>IF(D$54="","",LEFT(基本設定!F7,1))</f>
        <v/>
      </c>
      <c r="E59" s="16" t="str">
        <f>IF(E$54="","",LEFT(基本設定!G7,1))</f>
        <v/>
      </c>
      <c r="F59" s="16" t="str">
        <f>IF(F$54="","",LEFT(基本設定!H7,1))</f>
        <v>−</v>
      </c>
      <c r="G59" s="16" t="str">
        <f>IF(G$54="","",LEFT(基本設定!I7,1))</f>
        <v>−</v>
      </c>
      <c r="H59" s="18"/>
      <c r="I59" s="18"/>
      <c r="J59" s="16" t="str">
        <f>LEFT(基本設定!E7,1)</f>
        <v>−</v>
      </c>
      <c r="K59" s="16" t="str">
        <f>LEFT(基本設定!F7,1)</f>
        <v>−</v>
      </c>
      <c r="L59" s="16" t="str">
        <f>LEFT(基本設定!G7,1)</f>
        <v>−</v>
      </c>
      <c r="M59" s="16" t="str">
        <f>LEFT(基本設定!H7,1)</f>
        <v>−</v>
      </c>
      <c r="N59" s="16" t="str">
        <f>LEFT(基本設定!I7,1)</f>
        <v>−</v>
      </c>
      <c r="O59" s="18"/>
      <c r="P59" s="18"/>
      <c r="Q59" s="16" t="str">
        <f>IF(AND(Q$54&gt;=15,Q$54&lt;=21),"日",LEFT(基本設定!E7,1))</f>
        <v>−</v>
      </c>
      <c r="R59" s="16" t="str">
        <f>LEFT(基本設定!F7,1)</f>
        <v>−</v>
      </c>
      <c r="S59" s="16" t="str">
        <f>LEFT(基本設定!G7,1)</f>
        <v>−</v>
      </c>
      <c r="T59" s="16" t="str">
        <f>LEFT(基本設定!H7,1)</f>
        <v>−</v>
      </c>
      <c r="U59" s="16" t="str">
        <f>LEFT(基本設定!I7,1)</f>
        <v>−</v>
      </c>
      <c r="V59" s="18"/>
      <c r="W59" s="18"/>
      <c r="X59" s="16" t="str">
        <f>IF(AND(X$54&gt;=15,X$54&lt;=21),"日",LEFT(基本設定!E7,1))</f>
        <v>日</v>
      </c>
      <c r="Y59" s="16" t="str">
        <f>IF(AND($X$56="敬",$Z$56="秋"),"日",IF(INT(23.2488+0.242194*($C$1+1988-1980))-INT(($C$1+1988-1980)/4)=Y$54,"日",LEFT(基本設定!F7,1)))</f>
        <v>−</v>
      </c>
      <c r="Z59" s="16" t="str">
        <f>IF(INT(23.2488+0.242194*($C$1+1988-1980))-INT(($C$1+1988-1980)/4)=Z$54,"日",LEFT(基本設定!G7,1))</f>
        <v>−</v>
      </c>
      <c r="AA59" s="16" t="str">
        <f>IF(INT(23.2488+0.242194*($C$1+1988-1980))-INT(($C$1+1988-1980)/4)=AA$54,"日",LEFT(基本設定!H7,1))</f>
        <v>−</v>
      </c>
      <c r="AB59" s="16" t="str">
        <f>IF(INT(23.2488+0.242194*($C$1+1988-1980))-INT(($C$1+1988-1980)/4)=AB$54,"日",LEFT(基本設定!I7,1))</f>
        <v>日</v>
      </c>
      <c r="AC59" s="18" t="str">
        <f>IF(INT(23.2488+0.242194*($C$1+1988-1980))-INT(($C$1+1988-1980)/4)=AC$54,"日","")</f>
        <v/>
      </c>
      <c r="AD59" s="18" t="str">
        <f>IF(INT(23.2488+0.242194*($C$1+1988-1980))-INT(($C$1+1988-1980)/4)=AD$54,"日","")</f>
        <v/>
      </c>
      <c r="AE59" s="16" t="str">
        <f>IF($AD$56="秋","日",IF(INT(23.2488+0.242194*($C$1+1988-1980))-INT(($C$1+1988-1980)/4)=AE$54,"日",LEFT(基本設定!E7,1)))</f>
        <v>−</v>
      </c>
      <c r="AF59" s="16" t="str">
        <f>IF(INT(23.2488+0.242194*($C$1+1988-1980))-INT(($C$1+1988-1980)/4)=AF$54,"日",LEFT(基本設定!F7,1))</f>
        <v>−</v>
      </c>
      <c r="AG59" s="16" t="str">
        <f>IF(AG$54="","",LEFT(基本設定!G7,1))</f>
        <v>−</v>
      </c>
      <c r="AH59" s="16" t="str">
        <f>IF(AH$54="","",LEFT(基本設定!H7,1))</f>
        <v>−</v>
      </c>
      <c r="AI59" s="16" t="str">
        <f>IF(AI$54="","",LEFT(基本設定!I7,1))</f>
        <v>−</v>
      </c>
      <c r="AJ59" s="18"/>
      <c r="AK59" s="18"/>
      <c r="AL59" s="16" t="str">
        <f>IF(AL$54="","",LEFT(基本設定!E7,1))</f>
        <v/>
      </c>
    </row>
    <row r="60" spans="2:39" x14ac:dyDescent="0.15">
      <c r="B60" s="5">
        <v>5</v>
      </c>
      <c r="C60" s="16" t="str">
        <f>IF(C$54="","",LEFT(基本設定!E8,1))</f>
        <v/>
      </c>
      <c r="D60" s="16" t="str">
        <f>IF(D$54="","",LEFT(基本設定!F8,1))</f>
        <v/>
      </c>
      <c r="E60" s="16" t="str">
        <f>IF(E$54="","",LEFT(基本設定!G8,1))</f>
        <v/>
      </c>
      <c r="F60" s="16" t="str">
        <f>IF(F$54="","",LEFT(基本設定!H8,1))</f>
        <v>−</v>
      </c>
      <c r="G60" s="16" t="str">
        <f>IF(G$54="","",LEFT(基本設定!I8,1))</f>
        <v>−</v>
      </c>
      <c r="H60" s="18"/>
      <c r="I60" s="18"/>
      <c r="J60" s="16" t="str">
        <f>LEFT(基本設定!E8,1)</f>
        <v>−</v>
      </c>
      <c r="K60" s="16" t="str">
        <f>LEFT(基本設定!F8,1)</f>
        <v>−</v>
      </c>
      <c r="L60" s="16" t="str">
        <f>LEFT(基本設定!G8,1)</f>
        <v>−</v>
      </c>
      <c r="M60" s="16" t="str">
        <f>LEFT(基本設定!H8,1)</f>
        <v>−</v>
      </c>
      <c r="N60" s="16" t="str">
        <f>LEFT(基本設定!I8,1)</f>
        <v>−</v>
      </c>
      <c r="O60" s="18"/>
      <c r="P60" s="18"/>
      <c r="Q60" s="16" t="str">
        <f>IF(AND(Q$54&gt;=15,Q$54&lt;=21),"",LEFT(基本設定!E8,1))</f>
        <v>−</v>
      </c>
      <c r="R60" s="16" t="str">
        <f>LEFT(基本設定!F8,1)</f>
        <v>−</v>
      </c>
      <c r="S60" s="16" t="str">
        <f>LEFT(基本設定!G8,1)</f>
        <v>−</v>
      </c>
      <c r="T60" s="16" t="str">
        <f>LEFT(基本設定!H8,1)</f>
        <v>−</v>
      </c>
      <c r="U60" s="16" t="str">
        <f>LEFT(基本設定!I8,1)</f>
        <v>−</v>
      </c>
      <c r="V60" s="18"/>
      <c r="W60" s="18"/>
      <c r="X60" s="16" t="str">
        <f>IF(AND(X$54&gt;=15,X$54&lt;=21),"",LEFT(基本設定!E8,1))</f>
        <v/>
      </c>
      <c r="Y60" s="16" t="str">
        <f>IF(AND($X$56="敬",$Z$56="秋"),"",IF(INT(23.2488+0.242194*($C$1+1988-1980))-INT(($C$1+1988-1980)/4)=Y$54,"",LEFT(基本設定!F8,1)))</f>
        <v>−</v>
      </c>
      <c r="Z60" s="16" t="str">
        <f>IF(INT(23.2488+0.242194*($C$1+1988-1980))-INT(($C$1+1988-1980)/4)=Z$54,"",LEFT(基本設定!G8,1))</f>
        <v>−</v>
      </c>
      <c r="AA60" s="16" t="str">
        <f>IF(INT(23.2488+0.242194*($C$1+1988-1980))-INT(($C$1+1988-1980)/4)=AA$54,"",LEFT(基本設定!H8,1))</f>
        <v>−</v>
      </c>
      <c r="AB60" s="16" t="str">
        <f>IF(INT(23.2488+0.242194*($C$1+1988-1980))-INT(($C$1+1988-1980)/4)=AB$54,"",LEFT(基本設定!I8,1))</f>
        <v/>
      </c>
      <c r="AC60" s="18" t="str">
        <f>IF(INT(23.2488+0.242194*($C$1+1988-1980))-INT(($C$1+1988-1980)/4)=AC$54,"","")</f>
        <v/>
      </c>
      <c r="AD60" s="18" t="str">
        <f>IF(INT(23.2488+0.242194*($C$1+1988-1980))-INT(($C$1+1988-1980)/4)=AD$54,"","")</f>
        <v/>
      </c>
      <c r="AE60" s="16" t="str">
        <f>IF($AD$56="秋","",IF(INT(23.2488+0.242194*($C$1+1988-1980))-INT(($C$1+1988-1980)/4)=AE$54,"",LEFT(基本設定!E8,1)))</f>
        <v>−</v>
      </c>
      <c r="AF60" s="16" t="str">
        <f>IF(INT(23.2488+0.242194*($C$1+1988-1980))-INT(($C$1+1988-1980)/4)=AF$54,"",LEFT(基本設定!F8,1))</f>
        <v>−</v>
      </c>
      <c r="AG60" s="16" t="str">
        <f>IF(AG$54="","",LEFT(基本設定!G8,1))</f>
        <v>−</v>
      </c>
      <c r="AH60" s="16" t="str">
        <f>IF(AH$54="","",LEFT(基本設定!H8,1))</f>
        <v>−</v>
      </c>
      <c r="AI60" s="16" t="str">
        <f>IF(AI$54="","",LEFT(基本設定!I8,1))</f>
        <v>−</v>
      </c>
      <c r="AJ60" s="18"/>
      <c r="AK60" s="18"/>
      <c r="AL60" s="16" t="str">
        <f>IF(AL$54="","",LEFT(基本設定!E8,1))</f>
        <v/>
      </c>
    </row>
    <row r="61" spans="2:39" x14ac:dyDescent="0.15">
      <c r="B61" s="5">
        <v>6</v>
      </c>
      <c r="C61" s="16" t="str">
        <f>IF(C$54="","",LEFT(基本設定!E9,1))</f>
        <v/>
      </c>
      <c r="D61" s="16" t="str">
        <f>IF(D$54="","",LEFT(基本設定!F9,1))</f>
        <v/>
      </c>
      <c r="E61" s="16" t="str">
        <f>IF(E$54="","",LEFT(基本設定!G9,1))</f>
        <v/>
      </c>
      <c r="F61" s="16" t="str">
        <f>IF(F$54="","",LEFT(基本設定!H9,1))</f>
        <v>−</v>
      </c>
      <c r="G61" s="16" t="str">
        <f>IF(G$54="","",LEFT(基本設定!I9,1))</f>
        <v>−</v>
      </c>
      <c r="H61" s="18"/>
      <c r="I61" s="18"/>
      <c r="J61" s="16" t="str">
        <f>LEFT(基本設定!E9,1)</f>
        <v>−</v>
      </c>
      <c r="K61" s="16" t="str">
        <f>LEFT(基本設定!F9,1)</f>
        <v>−</v>
      </c>
      <c r="L61" s="16" t="str">
        <f>LEFT(基本設定!G9,1)</f>
        <v>−</v>
      </c>
      <c r="M61" s="16" t="str">
        <f>LEFT(基本設定!H9,1)</f>
        <v>−</v>
      </c>
      <c r="N61" s="16" t="str">
        <f>LEFT(基本設定!I9,1)</f>
        <v>−</v>
      </c>
      <c r="O61" s="18"/>
      <c r="P61" s="18"/>
      <c r="Q61" s="16" t="str">
        <f>IF(AND(Q$54&gt;=15,Q$54&lt;=21),"",LEFT(基本設定!E9,1))</f>
        <v>−</v>
      </c>
      <c r="R61" s="16" t="str">
        <f>LEFT(基本設定!F9,1)</f>
        <v>−</v>
      </c>
      <c r="S61" s="16" t="str">
        <f>LEFT(基本設定!G9,1)</f>
        <v>−</v>
      </c>
      <c r="T61" s="16" t="str">
        <f>LEFT(基本設定!H9,1)</f>
        <v>−</v>
      </c>
      <c r="U61" s="16" t="str">
        <f>LEFT(基本設定!I9,1)</f>
        <v>−</v>
      </c>
      <c r="V61" s="18"/>
      <c r="W61" s="18"/>
      <c r="X61" s="16" t="str">
        <f>IF(AND(X$54&gt;=15,X$54&lt;=21),"",LEFT(基本設定!E9,1))</f>
        <v/>
      </c>
      <c r="Y61" s="16" t="str">
        <f>IF(AND($X$56="敬",$Z$56="秋"),"",IF(INT(23.2488+0.242194*($C$1+1988-1980))-INT(($C$1+1988-1980)/4)=Y$54,"",LEFT(基本設定!F9,1)))</f>
        <v>−</v>
      </c>
      <c r="Z61" s="16" t="str">
        <f>IF(INT(23.2488+0.242194*($C$1+1988-1980))-INT(($C$1+1988-1980)/4)=Z$54,"",LEFT(基本設定!G9,1))</f>
        <v>−</v>
      </c>
      <c r="AA61" s="16" t="str">
        <f>IF(INT(23.2488+0.242194*($C$1+1988-1980))-INT(($C$1+1988-1980)/4)=AA$54,"",LEFT(基本設定!H9,1))</f>
        <v>−</v>
      </c>
      <c r="AB61" s="16" t="str">
        <f>IF(INT(23.2488+0.242194*($C$1+1988-1980))-INT(($C$1+1988-1980)/4)=AB$54,"",LEFT(基本設定!I9,1))</f>
        <v/>
      </c>
      <c r="AC61" s="18" t="str">
        <f>IF(INT(23.2488+0.242194*($C$1+1988-1980))-INT(($C$1+1988-1980)/4)=AC$54,"","")</f>
        <v/>
      </c>
      <c r="AD61" s="18" t="str">
        <f>IF(INT(23.2488+0.242194*($C$1+1988-1980))-INT(($C$1+1988-1980)/4)=AD$54,"","")</f>
        <v/>
      </c>
      <c r="AE61" s="16" t="str">
        <f>IF($AD$56="秋","",IF(INT(23.2488+0.242194*($C$1+1988-1980))-INT(($C$1+1988-1980)/4)=AE$54,"",LEFT(基本設定!E9,1)))</f>
        <v>−</v>
      </c>
      <c r="AF61" s="16" t="str">
        <f>IF(INT(23.2488+0.242194*($C$1+1988-1980))-INT(($C$1+1988-1980)/4)=AF$54,"",LEFT(基本設定!F9,1))</f>
        <v>−</v>
      </c>
      <c r="AG61" s="16" t="str">
        <f>IF(AG$54="","",LEFT(基本設定!G9,1))</f>
        <v>−</v>
      </c>
      <c r="AH61" s="16" t="str">
        <f>IF(AH$54="","",LEFT(基本設定!H9,1))</f>
        <v>−</v>
      </c>
      <c r="AI61" s="16" t="str">
        <f>IF(AI$54="","",LEFT(基本設定!I9,1))</f>
        <v>−</v>
      </c>
      <c r="AJ61" s="18"/>
      <c r="AK61" s="18"/>
      <c r="AL61" s="16" t="str">
        <f>IF(AL$54="","",LEFT(基本設定!E9,1))</f>
        <v/>
      </c>
    </row>
    <row r="63" spans="2:39" x14ac:dyDescent="0.15">
      <c r="B63" s="13">
        <v>10</v>
      </c>
      <c r="C63" s="14" t="s">
        <v>26</v>
      </c>
    </row>
    <row r="64" spans="2:39" x14ac:dyDescent="0.15">
      <c r="B64" s="5"/>
      <c r="C64" s="5" t="str">
        <f>IF(WEEKDAY(DATE($C$1+1988,$B$63,1),2)=1,1,"")</f>
        <v/>
      </c>
      <c r="D64" s="5" t="str">
        <f>IF(C64="",IF(WEEKDAY(DATE($C$1+1988,$B$63,1),2)=2,1,""),C64+1)</f>
        <v/>
      </c>
      <c r="E64" s="5" t="str">
        <f>IF(D64="",IF(WEEKDAY(DATE($C$1+1988,$B$63,1),2)=3,1,""),D64+1)</f>
        <v/>
      </c>
      <c r="F64" s="5" t="str">
        <f>IF(E64="",IF(WEEKDAY(DATE($C$1+1988,$B$63,1),2)=4,1,""),E64+1)</f>
        <v/>
      </c>
      <c r="G64" s="5" t="str">
        <f>IF(F64="",IF(WEEKDAY(DATE($C$1+1988,$B$63,1),2)=5,1,""),F64+1)</f>
        <v/>
      </c>
      <c r="H64" s="8">
        <f>IF(G64="",IF(WEEKDAY(DATE($C$1+1988,$B$63,1),2)=6,1,""),G64+1)</f>
        <v>1</v>
      </c>
      <c r="I64" s="8">
        <f>IF(H64="",IF(WEEKDAY(DATE($C$1+1988,$B$63,1),2)=7,1,""),H64+1)</f>
        <v>2</v>
      </c>
      <c r="J64" s="5">
        <f>I64+1</f>
        <v>3</v>
      </c>
      <c r="K64" s="5">
        <f t="shared" ref="K64" si="123">J64+1</f>
        <v>4</v>
      </c>
      <c r="L64" s="5">
        <f t="shared" ref="L64" si="124">K64+1</f>
        <v>5</v>
      </c>
      <c r="M64" s="5">
        <f t="shared" ref="M64" si="125">L64+1</f>
        <v>6</v>
      </c>
      <c r="N64" s="5">
        <f t="shared" ref="N64" si="126">M64+1</f>
        <v>7</v>
      </c>
      <c r="O64" s="8">
        <f t="shared" ref="O64" si="127">N64+1</f>
        <v>8</v>
      </c>
      <c r="P64" s="8">
        <f t="shared" ref="P64" si="128">O64+1</f>
        <v>9</v>
      </c>
      <c r="Q64" s="5">
        <f t="shared" ref="Q64" si="129">P64+1</f>
        <v>10</v>
      </c>
      <c r="R64" s="5">
        <f t="shared" ref="R64" si="130">Q64+1</f>
        <v>11</v>
      </c>
      <c r="S64" s="5">
        <f t="shared" ref="S64" si="131">R64+1</f>
        <v>12</v>
      </c>
      <c r="T64" s="5">
        <f t="shared" ref="T64" si="132">S64+1</f>
        <v>13</v>
      </c>
      <c r="U64" s="5">
        <f t="shared" ref="U64" si="133">T64+1</f>
        <v>14</v>
      </c>
      <c r="V64" s="8">
        <f t="shared" ref="V64" si="134">U64+1</f>
        <v>15</v>
      </c>
      <c r="W64" s="8">
        <f t="shared" ref="W64" si="135">V64+1</f>
        <v>16</v>
      </c>
      <c r="X64" s="5">
        <f t="shared" ref="X64" si="136">W64+1</f>
        <v>17</v>
      </c>
      <c r="Y64" s="5">
        <f t="shared" ref="Y64" si="137">X64+1</f>
        <v>18</v>
      </c>
      <c r="Z64" s="5">
        <f t="shared" ref="Z64" si="138">Y64+1</f>
        <v>19</v>
      </c>
      <c r="AA64" s="5">
        <f t="shared" ref="AA64" si="139">Z64+1</f>
        <v>20</v>
      </c>
      <c r="AB64" s="5">
        <f t="shared" ref="AB64" si="140">AA64+1</f>
        <v>21</v>
      </c>
      <c r="AC64" s="8">
        <f t="shared" ref="AC64" si="141">AB64+1</f>
        <v>22</v>
      </c>
      <c r="AD64" s="8">
        <f t="shared" ref="AD64" si="142">AC64+1</f>
        <v>23</v>
      </c>
      <c r="AE64" s="5">
        <f t="shared" ref="AE64" si="143">AD64+1</f>
        <v>24</v>
      </c>
      <c r="AF64" s="5">
        <f>IFERROR(IF(AE64=31,"",AE64+1),"")</f>
        <v>25</v>
      </c>
      <c r="AG64" s="5">
        <f t="shared" ref="AG64" si="144">IFERROR(IF(AF64=31,"",AF64+1),"")</f>
        <v>26</v>
      </c>
      <c r="AH64" s="5">
        <f t="shared" ref="AH64" si="145">IFERROR(IF(AG64=31,"",AG64+1),"")</f>
        <v>27</v>
      </c>
      <c r="AI64" s="5">
        <f t="shared" ref="AI64" si="146">IFERROR(IF(AH64=31,"",AH64+1),"")</f>
        <v>28</v>
      </c>
      <c r="AJ64" s="8">
        <f t="shared" ref="AJ64" si="147">IFERROR(IF(AI64=31,"",AI64+1),"")</f>
        <v>29</v>
      </c>
      <c r="AK64" s="8">
        <f t="shared" ref="AK64" si="148">IFERROR(IF(AJ64=31,"",AJ64+1),"")</f>
        <v>30</v>
      </c>
      <c r="AL64" s="5">
        <f t="shared" ref="AL64" si="149">IFERROR(IF(AK64=31,"",AK64+1),"")</f>
        <v>31</v>
      </c>
      <c r="AM64" s="5" t="str">
        <f t="shared" ref="AM64" si="150">IFERROR(IF(AL64=31,"",AL64+1),"")</f>
        <v/>
      </c>
    </row>
    <row r="65" spans="2:39" x14ac:dyDescent="0.15">
      <c r="B65" s="5" t="s">
        <v>29</v>
      </c>
      <c r="C65" s="5" t="s">
        <v>3</v>
      </c>
      <c r="D65" s="5" t="s">
        <v>22</v>
      </c>
      <c r="E65" s="5" t="s">
        <v>23</v>
      </c>
      <c r="F65" s="5" t="s">
        <v>24</v>
      </c>
      <c r="G65" s="5" t="s">
        <v>25</v>
      </c>
      <c r="H65" s="8" t="s">
        <v>27</v>
      </c>
      <c r="I65" s="8" t="s">
        <v>28</v>
      </c>
      <c r="J65" s="5" t="s">
        <v>2</v>
      </c>
      <c r="K65" s="5" t="s">
        <v>4</v>
      </c>
      <c r="L65" s="5" t="s">
        <v>5</v>
      </c>
      <c r="M65" s="5" t="s">
        <v>6</v>
      </c>
      <c r="N65" s="5" t="s">
        <v>7</v>
      </c>
      <c r="O65" s="8" t="s">
        <v>27</v>
      </c>
      <c r="P65" s="8" t="s">
        <v>28</v>
      </c>
      <c r="Q65" s="5" t="s">
        <v>2</v>
      </c>
      <c r="R65" s="5" t="s">
        <v>4</v>
      </c>
      <c r="S65" s="5" t="s">
        <v>5</v>
      </c>
      <c r="T65" s="5" t="s">
        <v>6</v>
      </c>
      <c r="U65" s="5" t="s">
        <v>7</v>
      </c>
      <c r="V65" s="8" t="s">
        <v>27</v>
      </c>
      <c r="W65" s="8" t="s">
        <v>28</v>
      </c>
      <c r="X65" s="5" t="s">
        <v>2</v>
      </c>
      <c r="Y65" s="5" t="s">
        <v>4</v>
      </c>
      <c r="Z65" s="5" t="s">
        <v>5</v>
      </c>
      <c r="AA65" s="5" t="s">
        <v>6</v>
      </c>
      <c r="AB65" s="5" t="s">
        <v>7</v>
      </c>
      <c r="AC65" s="8" t="s">
        <v>27</v>
      </c>
      <c r="AD65" s="8" t="s">
        <v>28</v>
      </c>
      <c r="AE65" s="5" t="s">
        <v>2</v>
      </c>
      <c r="AF65" s="5" t="s">
        <v>4</v>
      </c>
      <c r="AG65" s="5" t="s">
        <v>5</v>
      </c>
      <c r="AH65" s="5" t="s">
        <v>6</v>
      </c>
      <c r="AI65" s="5" t="s">
        <v>7</v>
      </c>
      <c r="AJ65" s="8" t="s">
        <v>27</v>
      </c>
      <c r="AK65" s="8" t="s">
        <v>28</v>
      </c>
      <c r="AL65" s="5" t="s">
        <v>2</v>
      </c>
      <c r="AM65" s="5" t="s">
        <v>4</v>
      </c>
    </row>
    <row r="66" spans="2:39" x14ac:dyDescent="0.15">
      <c r="B66" s="5">
        <v>1</v>
      </c>
      <c r="C66" s="16" t="str">
        <f>IF(C$64="","",LEFT(基本設定!E4,1))</f>
        <v/>
      </c>
      <c r="D66" s="16" t="str">
        <f>IF(D$64="","",LEFT(基本設定!F4,1))</f>
        <v/>
      </c>
      <c r="E66" s="16" t="str">
        <f>IF(E$64="","",LEFT(基本設定!G4,1))</f>
        <v/>
      </c>
      <c r="F66" s="16" t="str">
        <f>IF(F$64="","",LEFT(基本設定!H4,1))</f>
        <v/>
      </c>
      <c r="G66" s="16" t="str">
        <f>IF(G$64="","",LEFT(基本設定!I4,1))</f>
        <v/>
      </c>
      <c r="H66" s="18"/>
      <c r="I66" s="18"/>
      <c r="J66" s="16" t="str">
        <f>IF(AND(J$64&gt;=8,J$64&lt;=15)," 体 ",LEFT(基本設定!E4,1))</f>
        <v>−</v>
      </c>
      <c r="K66" s="16" t="str">
        <f>LEFT(基本設定!F4,1)</f>
        <v>−</v>
      </c>
      <c r="L66" s="16" t="str">
        <f>LEFT(基本設定!G4,1)</f>
        <v>−</v>
      </c>
      <c r="M66" s="16" t="str">
        <f>LEFT(基本設定!H4,1)</f>
        <v>−</v>
      </c>
      <c r="N66" s="16" t="str">
        <f>LEFT(基本設定!I4,1)</f>
        <v>−</v>
      </c>
      <c r="O66" s="18"/>
      <c r="P66" s="18"/>
      <c r="Q66" s="16" t="str">
        <f>IF(AND(Q$64&gt;=8,Q$64&lt;=14)," 体 ",LEFT(基本設定!E4,1))</f>
        <v xml:space="preserve"> 体 </v>
      </c>
      <c r="R66" s="16" t="str">
        <f>LEFT(基本設定!F4,1)</f>
        <v>−</v>
      </c>
      <c r="S66" s="16" t="str">
        <f>LEFT(基本設定!G4,1)</f>
        <v>−</v>
      </c>
      <c r="T66" s="16" t="str">
        <f>LEFT(基本設定!H4,1)</f>
        <v>−</v>
      </c>
      <c r="U66" s="16" t="str">
        <f>LEFT(基本設定!I4,1)</f>
        <v>−</v>
      </c>
      <c r="V66" s="18"/>
      <c r="W66" s="18"/>
      <c r="X66" s="16" t="str">
        <f>LEFT(基本設定!E4,1)</f>
        <v>−</v>
      </c>
      <c r="Y66" s="16" t="str">
        <f>LEFT(基本設定!F4,1)</f>
        <v>−</v>
      </c>
      <c r="Z66" s="16" t="str">
        <f>LEFT(基本設定!G4,1)</f>
        <v>−</v>
      </c>
      <c r="AA66" s="16" t="str">
        <f>LEFT(基本設定!H4,1)</f>
        <v>−</v>
      </c>
      <c r="AB66" s="16" t="str">
        <f>LEFT(基本設定!I4,1)</f>
        <v>−</v>
      </c>
      <c r="AC66" s="18"/>
      <c r="AD66" s="18" t="str">
        <f>IF(AD$64=28,"群","")</f>
        <v/>
      </c>
      <c r="AE66" s="16" t="str">
        <f>IF(AE$64=28,"群",LEFT(基本設定!E4,1))</f>
        <v>−</v>
      </c>
      <c r="AF66" s="16" t="str">
        <f>IF(AF$64=28,"群",LEFT(基本設定!F4,1))</f>
        <v>−</v>
      </c>
      <c r="AG66" s="16" t="str">
        <f>IF(AG$64=28,"群",LEFT(基本設定!G4,1))</f>
        <v>−</v>
      </c>
      <c r="AH66" s="16" t="str">
        <f>IF(AH$64=28,"群",LEFT(基本設定!H4,1))</f>
        <v>−</v>
      </c>
      <c r="AI66" s="16" t="str">
        <f>IF(AI$64="","",IF(AI$64=28,"群",LEFT(基本設定!I4,1)))</f>
        <v>群</v>
      </c>
      <c r="AJ66" s="18" t="str">
        <f>IF(AJ$64=28,"群","")</f>
        <v/>
      </c>
      <c r="AK66" s="18"/>
      <c r="AL66" s="16" t="str">
        <f>IF(AL$64="","",LEFT(基本設定!E4,1))</f>
        <v>−</v>
      </c>
      <c r="AM66" s="16" t="str">
        <f>IF(AM$64="","",LEFT(基本設定!F4,1))</f>
        <v/>
      </c>
    </row>
    <row r="67" spans="2:39" x14ac:dyDescent="0.15">
      <c r="B67" s="5">
        <v>2</v>
      </c>
      <c r="C67" s="16" t="str">
        <f>IF(C$64="","",LEFT(基本設定!E5,1))</f>
        <v/>
      </c>
      <c r="D67" s="16" t="str">
        <f>IF(D$64="","",LEFT(基本設定!F5,1))</f>
        <v/>
      </c>
      <c r="E67" s="16" t="str">
        <f>IF(E$64="","",LEFT(基本設定!G5,1))</f>
        <v/>
      </c>
      <c r="F67" s="16" t="str">
        <f>IF(F$64="","",LEFT(基本設定!H5,1))</f>
        <v/>
      </c>
      <c r="G67" s="16" t="str">
        <f>IF(G$64="","",LEFT(基本設定!I5,1))</f>
        <v/>
      </c>
      <c r="H67" s="18"/>
      <c r="I67" s="18"/>
      <c r="J67" s="16" t="str">
        <f>IF(AND(J$64&gt;=8,J$64&lt;=15),"育",LEFT(基本設定!E5,1))</f>
        <v>−</v>
      </c>
      <c r="K67" s="16" t="str">
        <f>LEFT(基本設定!F5,1)</f>
        <v>−</v>
      </c>
      <c r="L67" s="16" t="str">
        <f>LEFT(基本設定!G5,1)</f>
        <v>−</v>
      </c>
      <c r="M67" s="16" t="str">
        <f>LEFT(基本設定!H5,1)</f>
        <v>−</v>
      </c>
      <c r="N67" s="16" t="str">
        <f>LEFT(基本設定!I5,1)</f>
        <v>−</v>
      </c>
      <c r="O67" s="18"/>
      <c r="P67" s="18"/>
      <c r="Q67" s="16" t="str">
        <f>IF(AND(Q$64&gt;=8,Q$64&lt;=14),"育",LEFT(基本設定!E5,1))</f>
        <v>育</v>
      </c>
      <c r="R67" s="16" t="str">
        <f>LEFT(基本設定!F5,1)</f>
        <v>−</v>
      </c>
      <c r="S67" s="16" t="str">
        <f>LEFT(基本設定!G5,1)</f>
        <v>−</v>
      </c>
      <c r="T67" s="16" t="str">
        <f>LEFT(基本設定!H5,1)</f>
        <v>−</v>
      </c>
      <c r="U67" s="16" t="str">
        <f>LEFT(基本設定!I5,1)</f>
        <v>−</v>
      </c>
      <c r="V67" s="18"/>
      <c r="W67" s="18"/>
      <c r="X67" s="16" t="str">
        <f>LEFT(基本設定!E5,1)</f>
        <v>−</v>
      </c>
      <c r="Y67" s="16" t="str">
        <f>LEFT(基本設定!F5,1)</f>
        <v>−</v>
      </c>
      <c r="Z67" s="16" t="str">
        <f>LEFT(基本設定!G5,1)</f>
        <v>−</v>
      </c>
      <c r="AA67" s="16" t="str">
        <f>LEFT(基本設定!H5,1)</f>
        <v>−</v>
      </c>
      <c r="AB67" s="16" t="str">
        <f>LEFT(基本設定!I5,1)</f>
        <v>−</v>
      </c>
      <c r="AC67" s="18"/>
      <c r="AD67" s="18" t="str">
        <f>IF(AD$64=28,"馬","")</f>
        <v/>
      </c>
      <c r="AE67" s="16" t="str">
        <f>IF(AE$64=28,"馬",LEFT(基本設定!E5,1))</f>
        <v>−</v>
      </c>
      <c r="AF67" s="16" t="str">
        <f>IF(AF$64=28,"馬",LEFT(基本設定!F5,1))</f>
        <v>−</v>
      </c>
      <c r="AG67" s="16" t="str">
        <f>IF(AG$64=28,"馬",LEFT(基本設定!G5,1))</f>
        <v>−</v>
      </c>
      <c r="AH67" s="16" t="str">
        <f>IF(AH$64=28,"馬",LEFT(基本設定!H5,1))</f>
        <v>−</v>
      </c>
      <c r="AI67" s="16" t="str">
        <f>IF(AI$64="","",IF(AI$64=28,"馬",LEFT(基本設定!I5,1)))</f>
        <v>馬</v>
      </c>
      <c r="AJ67" s="18" t="str">
        <f>IF(AJ$64=28,"馬","")</f>
        <v/>
      </c>
      <c r="AK67" s="18"/>
      <c r="AL67" s="16" t="str">
        <f>IF(AL$64="","",LEFT(基本設定!E5,1))</f>
        <v>−</v>
      </c>
      <c r="AM67" s="16" t="str">
        <f>IF(AM$64="","",LEFT(基本設定!F5,1))</f>
        <v/>
      </c>
    </row>
    <row r="68" spans="2:39" x14ac:dyDescent="0.15">
      <c r="B68" s="5">
        <v>3</v>
      </c>
      <c r="C68" s="16" t="str">
        <f>IF(C$64="","",LEFT(基本設定!E6,1))</f>
        <v/>
      </c>
      <c r="D68" s="16" t="str">
        <f>IF(D$64="","",LEFT(基本設定!F6,1))</f>
        <v/>
      </c>
      <c r="E68" s="16" t="str">
        <f>IF(E$64="","",LEFT(基本設定!G6,1))</f>
        <v/>
      </c>
      <c r="F68" s="16" t="str">
        <f>IF(F$64="","",LEFT(基本設定!H6,1))</f>
        <v/>
      </c>
      <c r="G68" s="16" t="str">
        <f>IF(G$64="","",LEFT(基本設定!I6,1))</f>
        <v/>
      </c>
      <c r="H68" s="18"/>
      <c r="I68" s="18"/>
      <c r="J68" s="16" t="str">
        <f>IF(AND(J$64&gt;=8,J$64&lt;=15),"の",LEFT(基本設定!E6,1))</f>
        <v>−</v>
      </c>
      <c r="K68" s="16" t="str">
        <f>LEFT(基本設定!F6,1)</f>
        <v>−</v>
      </c>
      <c r="L68" s="16" t="str">
        <f>LEFT(基本設定!G6,1)</f>
        <v>−</v>
      </c>
      <c r="M68" s="16" t="str">
        <f>LEFT(基本設定!H6,1)</f>
        <v>−</v>
      </c>
      <c r="N68" s="16" t="str">
        <f>LEFT(基本設定!I6,1)</f>
        <v>−</v>
      </c>
      <c r="O68" s="18"/>
      <c r="P68" s="18"/>
      <c r="Q68" s="16" t="str">
        <f>IF(AND(Q$64&gt;=8,Q$64&lt;=14),"の",LEFT(基本設定!E6,1))</f>
        <v>の</v>
      </c>
      <c r="R68" s="16" t="str">
        <f>LEFT(基本設定!F6,1)</f>
        <v>−</v>
      </c>
      <c r="S68" s="16" t="str">
        <f>LEFT(基本設定!G6,1)</f>
        <v>−</v>
      </c>
      <c r="T68" s="16" t="str">
        <f>LEFT(基本設定!H6,1)</f>
        <v>−</v>
      </c>
      <c r="U68" s="16" t="str">
        <f>LEFT(基本設定!I6,1)</f>
        <v>−</v>
      </c>
      <c r="V68" s="18"/>
      <c r="W68" s="18"/>
      <c r="X68" s="16" t="str">
        <f>LEFT(基本設定!E6,1)</f>
        <v>−</v>
      </c>
      <c r="Y68" s="16" t="str">
        <f>LEFT(基本設定!F6,1)</f>
        <v>−</v>
      </c>
      <c r="Z68" s="16" t="str">
        <f>LEFT(基本設定!G6,1)</f>
        <v>−</v>
      </c>
      <c r="AA68" s="16" t="str">
        <f>LEFT(基本設定!H6,1)</f>
        <v>−</v>
      </c>
      <c r="AB68" s="16" t="str">
        <f>LEFT(基本設定!I6,1)</f>
        <v>−</v>
      </c>
      <c r="AC68" s="18"/>
      <c r="AD68" s="18" t="str">
        <f>IF(AD$64=28,"県","")</f>
        <v/>
      </c>
      <c r="AE68" s="16" t="str">
        <f>IF(AE$64=28,"県",LEFT(基本設定!E6,1))</f>
        <v>−</v>
      </c>
      <c r="AF68" s="16" t="str">
        <f>IF(AF$64=28,"県",LEFT(基本設定!F6,1))</f>
        <v>−</v>
      </c>
      <c r="AG68" s="16" t="str">
        <f>IF(AG$64=28,"県",LEFT(基本設定!G6,1))</f>
        <v>−</v>
      </c>
      <c r="AH68" s="16" t="str">
        <f>IF(AH$64=28,"県",LEFT(基本設定!H6,1))</f>
        <v>−</v>
      </c>
      <c r="AI68" s="16" t="str">
        <f>IF(AI$64="","",IF(AI$64=28,"県",LEFT(基本設定!I6,1)))</f>
        <v>県</v>
      </c>
      <c r="AJ68" s="18" t="str">
        <f>IF(AJ$64=28,"県","")</f>
        <v/>
      </c>
      <c r="AK68" s="18"/>
      <c r="AL68" s="16" t="str">
        <f>IF(AL$64="","",LEFT(基本設定!E6,1))</f>
        <v>−</v>
      </c>
      <c r="AM68" s="16" t="str">
        <f>IF(AM$64="","",LEFT(基本設定!F6,1))</f>
        <v/>
      </c>
    </row>
    <row r="69" spans="2:39" x14ac:dyDescent="0.15">
      <c r="B69" s="5">
        <v>4</v>
      </c>
      <c r="C69" s="16" t="str">
        <f>IF(C$64="","",LEFT(基本設定!E7,1))</f>
        <v/>
      </c>
      <c r="D69" s="16" t="str">
        <f>IF(D$64="","",LEFT(基本設定!F7,1))</f>
        <v/>
      </c>
      <c r="E69" s="16" t="str">
        <f>IF(E$64="","",LEFT(基本設定!G7,1))</f>
        <v/>
      </c>
      <c r="F69" s="16" t="str">
        <f>IF(F$64="","",LEFT(基本設定!H7,1))</f>
        <v/>
      </c>
      <c r="G69" s="16" t="str">
        <f>IF(G$64="","",LEFT(基本設定!I7,1))</f>
        <v/>
      </c>
      <c r="H69" s="18"/>
      <c r="I69" s="18"/>
      <c r="J69" s="16" t="str">
        <f>IF(AND(J$64&gt;=8,J$64&lt;=15),"日",LEFT(基本設定!E7,1))</f>
        <v>−</v>
      </c>
      <c r="K69" s="16" t="str">
        <f>LEFT(基本設定!F7,1)</f>
        <v>−</v>
      </c>
      <c r="L69" s="16" t="str">
        <f>LEFT(基本設定!G7,1)</f>
        <v>−</v>
      </c>
      <c r="M69" s="16" t="str">
        <f>LEFT(基本設定!H7,1)</f>
        <v>−</v>
      </c>
      <c r="N69" s="16" t="str">
        <f>LEFT(基本設定!I7,1)</f>
        <v>−</v>
      </c>
      <c r="O69" s="18"/>
      <c r="P69" s="18"/>
      <c r="Q69" s="16" t="str">
        <f>IF(AND(Q$64&gt;=8,Q$64&lt;=14),"日",LEFT(基本設定!E7,1))</f>
        <v>日</v>
      </c>
      <c r="R69" s="16" t="str">
        <f>LEFT(基本設定!F7,1)</f>
        <v>−</v>
      </c>
      <c r="S69" s="16" t="str">
        <f>LEFT(基本設定!G7,1)</f>
        <v>−</v>
      </c>
      <c r="T69" s="16" t="str">
        <f>LEFT(基本設定!H7,1)</f>
        <v>−</v>
      </c>
      <c r="U69" s="16" t="str">
        <f>LEFT(基本設定!I7,1)</f>
        <v>−</v>
      </c>
      <c r="V69" s="18"/>
      <c r="W69" s="18"/>
      <c r="X69" s="16" t="str">
        <f>LEFT(基本設定!E7,1)</f>
        <v>−</v>
      </c>
      <c r="Y69" s="16" t="str">
        <f>LEFT(基本設定!F7,1)</f>
        <v>−</v>
      </c>
      <c r="Z69" s="16" t="str">
        <f>LEFT(基本設定!G7,1)</f>
        <v>−</v>
      </c>
      <c r="AA69" s="16" t="str">
        <f>LEFT(基本設定!H7,1)</f>
        <v>−</v>
      </c>
      <c r="AB69" s="16" t="str">
        <f>LEFT(基本設定!I7,1)</f>
        <v>−</v>
      </c>
      <c r="AC69" s="18"/>
      <c r="AD69" s="18" t="str">
        <f>IF(AD$64=28,"民","")</f>
        <v/>
      </c>
      <c r="AE69" s="16" t="str">
        <f>IF(AE$64=28,"民",LEFT(基本設定!E7,1))</f>
        <v>−</v>
      </c>
      <c r="AF69" s="16" t="str">
        <f>IF(AF$64=28,"民",LEFT(基本設定!F7,1))</f>
        <v>−</v>
      </c>
      <c r="AG69" s="16" t="str">
        <f>IF(AG$64=28,"民",LEFT(基本設定!G7,1))</f>
        <v>−</v>
      </c>
      <c r="AH69" s="16" t="str">
        <f>IF(AH$64=28,"民",LEFT(基本設定!H7,1))</f>
        <v>−</v>
      </c>
      <c r="AI69" s="16" t="str">
        <f>IF(AI$64="","",IF(AI$64=28,"民",LEFT(基本設定!I7,1)))</f>
        <v>民</v>
      </c>
      <c r="AJ69" s="18" t="str">
        <f>IF(AJ$64=28,"民","")</f>
        <v/>
      </c>
      <c r="AK69" s="18"/>
      <c r="AL69" s="16" t="str">
        <f>IF(AL$64="","",LEFT(基本設定!E7,1))</f>
        <v>−</v>
      </c>
      <c r="AM69" s="16" t="str">
        <f>IF(AM$64="","",LEFT(基本設定!F7,1))</f>
        <v/>
      </c>
    </row>
    <row r="70" spans="2:39" x14ac:dyDescent="0.15">
      <c r="B70" s="5">
        <v>5</v>
      </c>
      <c r="C70" s="16" t="str">
        <f>IF(C$64="","",LEFT(基本設定!E8,1))</f>
        <v/>
      </c>
      <c r="D70" s="16" t="str">
        <f>IF(D$64="","",LEFT(基本設定!F8,1))</f>
        <v/>
      </c>
      <c r="E70" s="16" t="str">
        <f>IF(E$64="","",LEFT(基本設定!G8,1))</f>
        <v/>
      </c>
      <c r="F70" s="16" t="str">
        <f>IF(F$64="","",LEFT(基本設定!H8,1))</f>
        <v/>
      </c>
      <c r="G70" s="16" t="str">
        <f>IF(G$64="","",LEFT(基本設定!I8,1))</f>
        <v/>
      </c>
      <c r="H70" s="18"/>
      <c r="I70" s="18"/>
      <c r="J70" s="16" t="str">
        <f>IF(AND(J$64&gt;=8,J$64&lt;=15),"",LEFT(基本設定!E8,1))</f>
        <v>−</v>
      </c>
      <c r="K70" s="16" t="str">
        <f>LEFT(基本設定!F8,1)</f>
        <v>−</v>
      </c>
      <c r="L70" s="16" t="str">
        <f>LEFT(基本設定!G8,1)</f>
        <v>−</v>
      </c>
      <c r="M70" s="16" t="str">
        <f>LEFT(基本設定!H8,1)</f>
        <v>−</v>
      </c>
      <c r="N70" s="16" t="str">
        <f>LEFT(基本設定!I8,1)</f>
        <v>−</v>
      </c>
      <c r="O70" s="18"/>
      <c r="P70" s="18"/>
      <c r="Q70" s="16" t="str">
        <f>IF(AND(Q$64&gt;=8,Q$64&lt;=14),"",LEFT(基本設定!E8,1))</f>
        <v/>
      </c>
      <c r="R70" s="16" t="str">
        <f>LEFT(基本設定!F8,1)</f>
        <v>−</v>
      </c>
      <c r="S70" s="16" t="str">
        <f>LEFT(基本設定!G8,1)</f>
        <v>−</v>
      </c>
      <c r="T70" s="16" t="str">
        <f>LEFT(基本設定!H8,1)</f>
        <v>−</v>
      </c>
      <c r="U70" s="16" t="str">
        <f>LEFT(基本設定!I8,1)</f>
        <v>−</v>
      </c>
      <c r="V70" s="18"/>
      <c r="W70" s="18"/>
      <c r="X70" s="16" t="str">
        <f>LEFT(基本設定!E8,1)</f>
        <v>−</v>
      </c>
      <c r="Y70" s="16" t="str">
        <f>LEFT(基本設定!F8,1)</f>
        <v>−</v>
      </c>
      <c r="Z70" s="16" t="str">
        <f>LEFT(基本設定!G8,1)</f>
        <v>−</v>
      </c>
      <c r="AA70" s="16" t="str">
        <f>LEFT(基本設定!H8,1)</f>
        <v>−</v>
      </c>
      <c r="AB70" s="16" t="str">
        <f>LEFT(基本設定!I8,1)</f>
        <v>−</v>
      </c>
      <c r="AC70" s="18"/>
      <c r="AD70" s="18" t="str">
        <f>IF(AD$64=28,"の","")</f>
        <v/>
      </c>
      <c r="AE70" s="16" t="str">
        <f>IF(AE$64=28,"の",LEFT(基本設定!E8,1))</f>
        <v>−</v>
      </c>
      <c r="AF70" s="16" t="str">
        <f>IF(AF$64=28,"の",LEFT(基本設定!F8,1))</f>
        <v>−</v>
      </c>
      <c r="AG70" s="16" t="str">
        <f>IF(AG$64=28,"の",LEFT(基本設定!G8,1))</f>
        <v>−</v>
      </c>
      <c r="AH70" s="16" t="str">
        <f>IF(AH$64=28,"の",LEFT(基本設定!H8,1))</f>
        <v>−</v>
      </c>
      <c r="AI70" s="16" t="str">
        <f>IF(AI$64="","",IF(AI$64=28,"の",LEFT(基本設定!I8,1)))</f>
        <v>の</v>
      </c>
      <c r="AJ70" s="18" t="str">
        <f>IF(AJ$64=28,"の","")</f>
        <v/>
      </c>
      <c r="AK70" s="18"/>
      <c r="AL70" s="16" t="str">
        <f>IF(AL$64="","",LEFT(基本設定!E8,1))</f>
        <v>−</v>
      </c>
      <c r="AM70" s="16" t="str">
        <f>IF(AM$64="","",LEFT(基本設定!F8,1))</f>
        <v/>
      </c>
    </row>
    <row r="71" spans="2:39" x14ac:dyDescent="0.15">
      <c r="B71" s="5">
        <v>6</v>
      </c>
      <c r="C71" s="16" t="str">
        <f>IF(C$64="","",LEFT(基本設定!E9,1))</f>
        <v/>
      </c>
      <c r="D71" s="16" t="str">
        <f>IF(D$64="","",LEFT(基本設定!F9,1))</f>
        <v/>
      </c>
      <c r="E71" s="16" t="str">
        <f>IF(E$64="","",LEFT(基本設定!G9,1))</f>
        <v/>
      </c>
      <c r="F71" s="16" t="str">
        <f>IF(F$64="","",LEFT(基本設定!H9,1))</f>
        <v/>
      </c>
      <c r="G71" s="16" t="str">
        <f>IF(G$64="","",LEFT(基本設定!I9,1))</f>
        <v/>
      </c>
      <c r="H71" s="18"/>
      <c r="I71" s="18"/>
      <c r="J71" s="16" t="str">
        <f>IF(AND(J$64&gt;=8,J$64&lt;=15),"",LEFT(基本設定!E9,1))</f>
        <v>−</v>
      </c>
      <c r="K71" s="16" t="str">
        <f>LEFT(基本設定!F9,1)</f>
        <v>−</v>
      </c>
      <c r="L71" s="16" t="str">
        <f>LEFT(基本設定!G9,1)</f>
        <v>−</v>
      </c>
      <c r="M71" s="16" t="str">
        <f>LEFT(基本設定!H9,1)</f>
        <v>−</v>
      </c>
      <c r="N71" s="16" t="str">
        <f>LEFT(基本設定!I9,1)</f>
        <v>−</v>
      </c>
      <c r="O71" s="18"/>
      <c r="P71" s="18"/>
      <c r="Q71" s="16" t="str">
        <f>IF(AND(Q$64&gt;=8,Q$64&lt;=14),"",LEFT(基本設定!E9,1))</f>
        <v/>
      </c>
      <c r="R71" s="16" t="str">
        <f>LEFT(基本設定!F9,1)</f>
        <v>−</v>
      </c>
      <c r="S71" s="16" t="str">
        <f>LEFT(基本設定!G9,1)</f>
        <v>−</v>
      </c>
      <c r="T71" s="16" t="str">
        <f>LEFT(基本設定!H9,1)</f>
        <v>−</v>
      </c>
      <c r="U71" s="16" t="str">
        <f>LEFT(基本設定!I9,1)</f>
        <v>−</v>
      </c>
      <c r="V71" s="18"/>
      <c r="W71" s="18"/>
      <c r="X71" s="16" t="str">
        <f>LEFT(基本設定!E9,1)</f>
        <v>−</v>
      </c>
      <c r="Y71" s="16" t="str">
        <f>LEFT(基本設定!F9,1)</f>
        <v>−</v>
      </c>
      <c r="Z71" s="16" t="str">
        <f>LEFT(基本設定!G9,1)</f>
        <v>−</v>
      </c>
      <c r="AA71" s="16" t="str">
        <f>LEFT(基本設定!H9,1)</f>
        <v>−</v>
      </c>
      <c r="AB71" s="16" t="str">
        <f>LEFT(基本設定!I9,1)</f>
        <v>−</v>
      </c>
      <c r="AC71" s="18"/>
      <c r="AD71" s="18" t="str">
        <f>IF(AD$64=28,"日","")</f>
        <v/>
      </c>
      <c r="AE71" s="16" t="str">
        <f>IF(AE$64=28,"日",LEFT(基本設定!E9,1))</f>
        <v>−</v>
      </c>
      <c r="AF71" s="16" t="str">
        <f>IF(AF$64=28,"日",LEFT(基本設定!F9,1))</f>
        <v>−</v>
      </c>
      <c r="AG71" s="16" t="str">
        <f>IF(AG$64=28,"日",LEFT(基本設定!G9,1))</f>
        <v>−</v>
      </c>
      <c r="AH71" s="16" t="str">
        <f>IF(AH$64=28,"日",LEFT(基本設定!H9,1))</f>
        <v>−</v>
      </c>
      <c r="AI71" s="16" t="str">
        <f>IF(AI$64="","",IF(AI$64=28,"日",LEFT(基本設定!I9,1)))</f>
        <v>日</v>
      </c>
      <c r="AJ71" s="18" t="str">
        <f>IF(AJ$64=28,"日","")</f>
        <v/>
      </c>
      <c r="AK71" s="18"/>
      <c r="AL71" s="16" t="str">
        <f>IF(AL$64="","",LEFT(基本設定!E9,1))</f>
        <v>−</v>
      </c>
      <c r="AM71" s="16" t="str">
        <f>IF(AM$64="","",LEFT(基本設定!F9,1))</f>
        <v/>
      </c>
    </row>
    <row r="73" spans="2:39" x14ac:dyDescent="0.15">
      <c r="B73" s="13">
        <v>11</v>
      </c>
      <c r="C73" s="14" t="s">
        <v>26</v>
      </c>
    </row>
    <row r="74" spans="2:39" x14ac:dyDescent="0.15">
      <c r="B74" s="5"/>
      <c r="C74" s="5" t="str">
        <f>IF(WEEKDAY(DATE($C$1+1988,$B$73,1),2)=1,1,"")</f>
        <v/>
      </c>
      <c r="D74" s="5">
        <f>IF(C74="",IF(WEEKDAY(DATE($C$1+1988,$B73,1),2)=2,1,""),C74+1)</f>
        <v>1</v>
      </c>
      <c r="E74" s="5">
        <f>IF(D74="",IF(WEEKDAY(DATE($C$1+1988,$B$73,1),2)=3,1,""),D74+1)</f>
        <v>2</v>
      </c>
      <c r="F74" s="5">
        <f>IF(E74="",IF(WEEKDAY(DATE($C$1+1988,$B$73,1),2)=4,1,""),E74+1)</f>
        <v>3</v>
      </c>
      <c r="G74" s="5">
        <f>IF(F74="",IF(WEEKDAY(DATE($C$1+1988,$B$73,1),2)=5,1,""),F74+1)</f>
        <v>4</v>
      </c>
      <c r="H74" s="8">
        <f>IF(G74="",IF(WEEKDAY(DATE($C$1+1988,$B$73,1),2)=6,1,""),G74+1)</f>
        <v>5</v>
      </c>
      <c r="I74" s="8">
        <f>IF(H74="",IF(WEEKDAY(DATE($C$1+1988,$B$73,1),2)=7,1,""),H74+1)</f>
        <v>6</v>
      </c>
      <c r="J74" s="5">
        <f>I74+1</f>
        <v>7</v>
      </c>
      <c r="K74" s="5">
        <f t="shared" ref="K74" si="151">J74+1</f>
        <v>8</v>
      </c>
      <c r="L74" s="5">
        <f t="shared" ref="L74" si="152">K74+1</f>
        <v>9</v>
      </c>
      <c r="M74" s="5">
        <f t="shared" ref="M74" si="153">L74+1</f>
        <v>10</v>
      </c>
      <c r="N74" s="5">
        <f t="shared" ref="N74" si="154">M74+1</f>
        <v>11</v>
      </c>
      <c r="O74" s="8">
        <f t="shared" ref="O74" si="155">N74+1</f>
        <v>12</v>
      </c>
      <c r="P74" s="8">
        <f t="shared" ref="P74" si="156">O74+1</f>
        <v>13</v>
      </c>
      <c r="Q74" s="5">
        <f t="shared" ref="Q74" si="157">P74+1</f>
        <v>14</v>
      </c>
      <c r="R74" s="5">
        <f t="shared" ref="R74" si="158">Q74+1</f>
        <v>15</v>
      </c>
      <c r="S74" s="5">
        <f t="shared" ref="S74" si="159">R74+1</f>
        <v>16</v>
      </c>
      <c r="T74" s="5">
        <f t="shared" ref="T74" si="160">S74+1</f>
        <v>17</v>
      </c>
      <c r="U74" s="5">
        <f t="shared" ref="U74" si="161">T74+1</f>
        <v>18</v>
      </c>
      <c r="V74" s="8">
        <f t="shared" ref="V74" si="162">U74+1</f>
        <v>19</v>
      </c>
      <c r="W74" s="8">
        <f t="shared" ref="W74" si="163">V74+1</f>
        <v>20</v>
      </c>
      <c r="X74" s="5">
        <f t="shared" ref="X74" si="164">W74+1</f>
        <v>21</v>
      </c>
      <c r="Y74" s="5">
        <f t="shared" ref="Y74" si="165">X74+1</f>
        <v>22</v>
      </c>
      <c r="Z74" s="5">
        <f t="shared" ref="Z74" si="166">Y74+1</f>
        <v>23</v>
      </c>
      <c r="AA74" s="5">
        <f t="shared" ref="AA74" si="167">Z74+1</f>
        <v>24</v>
      </c>
      <c r="AB74" s="5">
        <f t="shared" ref="AB74" si="168">AA74+1</f>
        <v>25</v>
      </c>
      <c r="AC74" s="8">
        <f t="shared" ref="AC74" si="169">AB74+1</f>
        <v>26</v>
      </c>
      <c r="AD74" s="8">
        <f t="shared" ref="AD74" si="170">AC74+1</f>
        <v>27</v>
      </c>
      <c r="AE74" s="5">
        <f t="shared" ref="AE74" si="171">AD74+1</f>
        <v>28</v>
      </c>
      <c r="AF74" s="5">
        <f t="shared" ref="AF74:AL74" si="172">IFERROR(IF(AE74=30,"",AE74+1),"")</f>
        <v>29</v>
      </c>
      <c r="AG74" s="5">
        <f t="shared" si="172"/>
        <v>30</v>
      </c>
      <c r="AH74" s="5" t="str">
        <f t="shared" si="172"/>
        <v/>
      </c>
      <c r="AI74" s="5" t="str">
        <f t="shared" si="172"/>
        <v/>
      </c>
      <c r="AJ74" s="8" t="str">
        <f t="shared" si="172"/>
        <v/>
      </c>
      <c r="AK74" s="8" t="str">
        <f t="shared" si="172"/>
        <v/>
      </c>
      <c r="AL74" s="5" t="str">
        <f t="shared" si="172"/>
        <v/>
      </c>
    </row>
    <row r="75" spans="2:39" x14ac:dyDescent="0.15">
      <c r="B75" s="5" t="s">
        <v>29</v>
      </c>
      <c r="C75" s="5" t="s">
        <v>3</v>
      </c>
      <c r="D75" s="5" t="s">
        <v>22</v>
      </c>
      <c r="E75" s="5" t="s">
        <v>23</v>
      </c>
      <c r="F75" s="5" t="s">
        <v>24</v>
      </c>
      <c r="G75" s="5" t="s">
        <v>25</v>
      </c>
      <c r="H75" s="8" t="s">
        <v>27</v>
      </c>
      <c r="I75" s="8" t="s">
        <v>28</v>
      </c>
      <c r="J75" s="5" t="s">
        <v>2</v>
      </c>
      <c r="K75" s="5" t="s">
        <v>4</v>
      </c>
      <c r="L75" s="5" t="s">
        <v>5</v>
      </c>
      <c r="M75" s="5" t="s">
        <v>6</v>
      </c>
      <c r="N75" s="5" t="s">
        <v>7</v>
      </c>
      <c r="O75" s="8" t="s">
        <v>27</v>
      </c>
      <c r="P75" s="8" t="s">
        <v>28</v>
      </c>
      <c r="Q75" s="5" t="s">
        <v>2</v>
      </c>
      <c r="R75" s="5" t="s">
        <v>4</v>
      </c>
      <c r="S75" s="5" t="s">
        <v>5</v>
      </c>
      <c r="T75" s="5" t="s">
        <v>6</v>
      </c>
      <c r="U75" s="5" t="s">
        <v>7</v>
      </c>
      <c r="V75" s="8" t="s">
        <v>27</v>
      </c>
      <c r="W75" s="8" t="s">
        <v>28</v>
      </c>
      <c r="X75" s="5" t="s">
        <v>2</v>
      </c>
      <c r="Y75" s="5" t="s">
        <v>4</v>
      </c>
      <c r="Z75" s="5" t="s">
        <v>5</v>
      </c>
      <c r="AA75" s="5" t="s">
        <v>6</v>
      </c>
      <c r="AB75" s="5" t="s">
        <v>7</v>
      </c>
      <c r="AC75" s="8" t="s">
        <v>27</v>
      </c>
      <c r="AD75" s="8" t="s">
        <v>28</v>
      </c>
      <c r="AE75" s="5" t="s">
        <v>2</v>
      </c>
      <c r="AF75" s="5" t="s">
        <v>4</v>
      </c>
      <c r="AG75" s="5" t="s">
        <v>5</v>
      </c>
      <c r="AH75" s="5" t="s">
        <v>6</v>
      </c>
      <c r="AI75" s="5" t="s">
        <v>7</v>
      </c>
      <c r="AJ75" s="8" t="s">
        <v>27</v>
      </c>
      <c r="AK75" s="8" t="s">
        <v>28</v>
      </c>
      <c r="AL75" s="5" t="s">
        <v>2</v>
      </c>
    </row>
    <row r="76" spans="2:39" x14ac:dyDescent="0.15">
      <c r="B76" s="5">
        <v>1</v>
      </c>
      <c r="C76" s="16" t="str">
        <f>IF(C$74="","",LEFT(基本設定!E4,1))</f>
        <v/>
      </c>
      <c r="D76" s="16" t="str">
        <f>IF(D$74="","",LEFT(基本設定!F4,1))</f>
        <v>−</v>
      </c>
      <c r="E76" s="16" t="str">
        <f>IF(E$74=3,"文",IF(E$74="","",LEFT(基本設定!G4,1)))</f>
        <v>−</v>
      </c>
      <c r="F76" s="16" t="str">
        <f>IF(F$74=3,"文",IF(F$74="","",LEFT(基本設定!H4,1)))</f>
        <v>文</v>
      </c>
      <c r="G76" s="16" t="str">
        <f>IF(G$74=3,"文",IF(G$74="","",LEFT(基本設定!I4,1)))</f>
        <v>−</v>
      </c>
      <c r="H76" s="18" t="str">
        <f>IF(H$74=3,"文","")</f>
        <v/>
      </c>
      <c r="I76" s="18" t="str">
        <f>IF(I$74=3,"文","")</f>
        <v/>
      </c>
      <c r="J76" s="16" t="str">
        <f>IF(J$74=4,"",IF(J$74=3,"文",IF(J$74="","",LEFT(基本設定!E4,1))))</f>
        <v>−</v>
      </c>
      <c r="K76" s="16" t="str">
        <f>IF(K$74=3,"文",IF(K$74="","",LEFT(基本設定!F4,1)))</f>
        <v>−</v>
      </c>
      <c r="L76" s="16" t="str">
        <f>LEFT(基本設定!G4,1)</f>
        <v>−</v>
      </c>
      <c r="M76" s="16" t="str">
        <f>LEFT(基本設定!H4,1)</f>
        <v>−</v>
      </c>
      <c r="N76" s="16" t="str">
        <f>LEFT(基本設定!I4,1)</f>
        <v>−</v>
      </c>
      <c r="O76" s="18"/>
      <c r="P76" s="18"/>
      <c r="Q76" s="16" t="str">
        <f>LEFT(基本設定!E4,1)</f>
        <v>−</v>
      </c>
      <c r="R76" s="16" t="str">
        <f>LEFT(基本設定!F4,1)</f>
        <v>−</v>
      </c>
      <c r="S76" s="16" t="str">
        <f>LEFT(基本設定!G4,1)</f>
        <v>−</v>
      </c>
      <c r="T76" s="16" t="str">
        <f>LEFT(基本設定!H4,1)</f>
        <v>−</v>
      </c>
      <c r="U76" s="16" t="str">
        <f>LEFT(基本設定!I4,1)</f>
        <v>−</v>
      </c>
      <c r="V76" s="18"/>
      <c r="W76" s="18"/>
      <c r="X76" s="16" t="str">
        <f>LEFT(基本設定!E4,1)</f>
        <v>−</v>
      </c>
      <c r="Y76" s="16" t="str">
        <f>IF(Y$74=23," 勤 ",LEFT(基本設定!F4,1))</f>
        <v>−</v>
      </c>
      <c r="Z76" s="16" t="str">
        <f>IF(Z$74=23," 勤 ",LEFT(基本設定!G4,1))</f>
        <v xml:space="preserve"> 勤 </v>
      </c>
      <c r="AA76" s="16" t="str">
        <f>IF(AA$74=23," 勤 ",LEFT(基本設定!H4,1))</f>
        <v>−</v>
      </c>
      <c r="AB76" s="16" t="str">
        <f>IF(AB$74=23," 勤 ",LEFT(基本設定!I4,1))</f>
        <v>−</v>
      </c>
      <c r="AC76" s="18" t="str">
        <f>IF(AC$74=23," 勤 ","")</f>
        <v/>
      </c>
      <c r="AD76" s="18" t="str">
        <f>IF(AD$74=23," 勤 ","")</f>
        <v/>
      </c>
      <c r="AE76" s="16" t="str">
        <f>IF(AE$74=24,"",IF(AE$74=23," 勤 ",LEFT(基本設定!E4,1)))</f>
        <v>−</v>
      </c>
      <c r="AF76" s="16" t="str">
        <f>IF(AF$74="","",LEFT(基本設定!F4,1))</f>
        <v>−</v>
      </c>
      <c r="AG76" s="16" t="str">
        <f>IF(AG$74="","",LEFT(基本設定!G4,1))</f>
        <v>−</v>
      </c>
      <c r="AH76" s="16" t="str">
        <f>IF(AH$74="","",LEFT(基本設定!H4,1))</f>
        <v/>
      </c>
      <c r="AI76" s="16" t="str">
        <f>IF(AI$74="","",LEFT(基本設定!I4,1))</f>
        <v/>
      </c>
      <c r="AJ76" s="18"/>
      <c r="AK76" s="18"/>
      <c r="AL76" s="16" t="str">
        <f>IF(AL$74="","",LEFT(基本設定!E4,1))</f>
        <v/>
      </c>
    </row>
    <row r="77" spans="2:39" x14ac:dyDescent="0.15">
      <c r="B77" s="5">
        <v>2</v>
      </c>
      <c r="C77" s="16" t="str">
        <f>IF(C$74="","",LEFT(基本設定!E5,1))</f>
        <v/>
      </c>
      <c r="D77" s="16" t="str">
        <f>IF(D$74="","",LEFT(基本設定!F5,1))</f>
        <v>−</v>
      </c>
      <c r="E77" s="16" t="str">
        <f>IF(E$74=3,"化",IF(E$74="","",LEFT(基本設定!G5,1)))</f>
        <v>−</v>
      </c>
      <c r="F77" s="16" t="str">
        <f>IF(F$74=3,"化",IF(F$74="","",LEFT(基本設定!H5,1)))</f>
        <v>化</v>
      </c>
      <c r="G77" s="16" t="str">
        <f>IF(G$74=3,"化",IF(G$74="","",LEFT(基本設定!I5,1)))</f>
        <v>−</v>
      </c>
      <c r="H77" s="18" t="str">
        <f>IF(H$74=3,"化","")</f>
        <v/>
      </c>
      <c r="I77" s="18" t="str">
        <f>IF(I$74=3,"化","")</f>
        <v/>
      </c>
      <c r="J77" s="16" t="str">
        <f>IF(J$74=4,"休",IF(J$74=3,"化",IF(J$74="","",LEFT(基本設定!E5,1))))</f>
        <v>−</v>
      </c>
      <c r="K77" s="16" t="str">
        <f>IF(K$74=3,"化",IF(K$74="","",LEFT(基本設定!F5,1)))</f>
        <v>−</v>
      </c>
      <c r="L77" s="16" t="str">
        <f>LEFT(基本設定!G5,1)</f>
        <v>−</v>
      </c>
      <c r="M77" s="16" t="str">
        <f>LEFT(基本設定!H5,1)</f>
        <v>−</v>
      </c>
      <c r="N77" s="16" t="str">
        <f>LEFT(基本設定!I5,1)</f>
        <v>−</v>
      </c>
      <c r="O77" s="18"/>
      <c r="P77" s="18"/>
      <c r="Q77" s="16" t="str">
        <f>LEFT(基本設定!E5,1)</f>
        <v>−</v>
      </c>
      <c r="R77" s="16" t="str">
        <f>LEFT(基本設定!F5,1)</f>
        <v>−</v>
      </c>
      <c r="S77" s="16" t="str">
        <f>LEFT(基本設定!G5,1)</f>
        <v>−</v>
      </c>
      <c r="T77" s="16" t="str">
        <f>LEFT(基本設定!H5,1)</f>
        <v>−</v>
      </c>
      <c r="U77" s="16" t="str">
        <f>LEFT(基本設定!I5,1)</f>
        <v>−</v>
      </c>
      <c r="V77" s="18"/>
      <c r="W77" s="18"/>
      <c r="X77" s="16" t="str">
        <f>LEFT(基本設定!E5,1)</f>
        <v>−</v>
      </c>
      <c r="Y77" s="16" t="str">
        <f>IF(Y$74=23,"労",LEFT(基本設定!F5,1))</f>
        <v>−</v>
      </c>
      <c r="Z77" s="16" t="str">
        <f>IF(Z$74=23,"労",LEFT(基本設定!G5,1))</f>
        <v>労</v>
      </c>
      <c r="AA77" s="16" t="str">
        <f>IF(AA$74=23,"労",LEFT(基本設定!H5,1))</f>
        <v>−</v>
      </c>
      <c r="AB77" s="16" t="str">
        <f>IF(AB$74=23,"労",LEFT(基本設定!I5,1))</f>
        <v>−</v>
      </c>
      <c r="AC77" s="18" t="str">
        <f>IF(AC$74=23,"労","")</f>
        <v/>
      </c>
      <c r="AD77" s="18" t="str">
        <f>IF(AD$74=23,"労","")</f>
        <v/>
      </c>
      <c r="AE77" s="16" t="str">
        <f>IF(AE$74=24,"休",IF(AE$74=23,"労",LEFT(基本設定!E5,1)))</f>
        <v>−</v>
      </c>
      <c r="AF77" s="16" t="str">
        <f>IF(AF$74="","",LEFT(基本設定!F5,1))</f>
        <v>−</v>
      </c>
      <c r="AG77" s="16" t="str">
        <f>IF(AG$74="","",LEFT(基本設定!G5,1))</f>
        <v>−</v>
      </c>
      <c r="AH77" s="16" t="str">
        <f>IF(AH$74="","",LEFT(基本設定!H5,1))</f>
        <v/>
      </c>
      <c r="AI77" s="16" t="str">
        <f>IF(AI$74="","",LEFT(基本設定!I5,1))</f>
        <v/>
      </c>
      <c r="AJ77" s="18"/>
      <c r="AK77" s="18"/>
      <c r="AL77" s="16" t="str">
        <f>IF(AL$74="","",LEFT(基本設定!E5,1))</f>
        <v/>
      </c>
    </row>
    <row r="78" spans="2:39" x14ac:dyDescent="0.15">
      <c r="B78" s="5">
        <v>3</v>
      </c>
      <c r="C78" s="16" t="str">
        <f>IF(C$74="","",LEFT(基本設定!E6,1))</f>
        <v/>
      </c>
      <c r="D78" s="16" t="str">
        <f>IF(D$74="","",LEFT(基本設定!F6,1))</f>
        <v>−</v>
      </c>
      <c r="E78" s="16" t="str">
        <f>IF(E$74=3,"の",IF(E$74="","",LEFT(基本設定!G6,1)))</f>
        <v>−</v>
      </c>
      <c r="F78" s="16" t="str">
        <f>IF(F$74=3,"の",IF(F$74="","",LEFT(基本設定!H6,1)))</f>
        <v>の</v>
      </c>
      <c r="G78" s="16" t="str">
        <f>IF(G$74=3,"の",IF(G$74="","",LEFT(基本設定!I6,1)))</f>
        <v>−</v>
      </c>
      <c r="H78" s="18" t="str">
        <f>IF(H$74=3,"の","")</f>
        <v/>
      </c>
      <c r="I78" s="18" t="str">
        <f>IF(I$74=3,"の","")</f>
        <v/>
      </c>
      <c r="J78" s="16" t="str">
        <f>IF(J$74=4,"",IF(J$74=3,"の",IF(J$74="","",LEFT(基本設定!E6,1))))</f>
        <v>−</v>
      </c>
      <c r="K78" s="16" t="str">
        <f>IF(K$74=3,"の",IF(K$74="","",LEFT(基本設定!F6,1)))</f>
        <v>−</v>
      </c>
      <c r="L78" s="16" t="str">
        <f>LEFT(基本設定!G6,1)</f>
        <v>−</v>
      </c>
      <c r="M78" s="16" t="str">
        <f>LEFT(基本設定!H6,1)</f>
        <v>−</v>
      </c>
      <c r="N78" s="16" t="str">
        <f>LEFT(基本設定!I6,1)</f>
        <v>−</v>
      </c>
      <c r="O78" s="18"/>
      <c r="P78" s="18"/>
      <c r="Q78" s="16" t="str">
        <f>LEFT(基本設定!E6,1)</f>
        <v>−</v>
      </c>
      <c r="R78" s="16" t="str">
        <f>LEFT(基本設定!F6,1)</f>
        <v>−</v>
      </c>
      <c r="S78" s="16" t="str">
        <f>LEFT(基本設定!G6,1)</f>
        <v>−</v>
      </c>
      <c r="T78" s="16" t="str">
        <f>LEFT(基本設定!H6,1)</f>
        <v>−</v>
      </c>
      <c r="U78" s="16" t="str">
        <f>LEFT(基本設定!I6,1)</f>
        <v>−</v>
      </c>
      <c r="V78" s="18"/>
      <c r="W78" s="18"/>
      <c r="X78" s="16" t="str">
        <f>LEFT(基本設定!E6,1)</f>
        <v>−</v>
      </c>
      <c r="Y78" s="16" t="str">
        <f>IF(Y$74=23,"感",LEFT(基本設定!F6,1))</f>
        <v>−</v>
      </c>
      <c r="Z78" s="16" t="str">
        <f>IF(Z$74=23,"感",LEFT(基本設定!G6,1))</f>
        <v>感</v>
      </c>
      <c r="AA78" s="16" t="str">
        <f>IF(AA$74=23,"感",LEFT(基本設定!H6,1))</f>
        <v>−</v>
      </c>
      <c r="AB78" s="16" t="str">
        <f>IF(AB$74=23,"感",LEFT(基本設定!I6,1))</f>
        <v>−</v>
      </c>
      <c r="AC78" s="18" t="str">
        <f>IF(AC$74=23,"感","")</f>
        <v/>
      </c>
      <c r="AD78" s="18" t="str">
        <f>IF(AD$74=23,"感","")</f>
        <v/>
      </c>
      <c r="AE78" s="16" t="str">
        <f>IF(AE$74=24,"",IF(AE$74=23,"感",LEFT(基本設定!E6,1)))</f>
        <v>−</v>
      </c>
      <c r="AF78" s="16" t="str">
        <f>IF(AF$74="","",LEFT(基本設定!F6,1))</f>
        <v>−</v>
      </c>
      <c r="AG78" s="16" t="str">
        <f>IF(AG$74="","",LEFT(基本設定!G6,1))</f>
        <v>−</v>
      </c>
      <c r="AH78" s="16" t="str">
        <f>IF(AH$74="","",LEFT(基本設定!H6,1))</f>
        <v/>
      </c>
      <c r="AI78" s="16" t="str">
        <f>IF(AI$74="","",LEFT(基本設定!I6,1))</f>
        <v/>
      </c>
      <c r="AJ78" s="18"/>
      <c r="AK78" s="18"/>
      <c r="AL78" s="16" t="str">
        <f>IF(AL$74="","",LEFT(基本設定!E6,1))</f>
        <v/>
      </c>
    </row>
    <row r="79" spans="2:39" x14ac:dyDescent="0.15">
      <c r="B79" s="5">
        <v>4</v>
      </c>
      <c r="C79" s="16" t="str">
        <f>IF(C$74="","",LEFT(基本設定!E7,1))</f>
        <v/>
      </c>
      <c r="D79" s="16" t="str">
        <f>IF(D$74="","",LEFT(基本設定!F7,1))</f>
        <v>−</v>
      </c>
      <c r="E79" s="16" t="str">
        <f>IF(E$74=3,"日",IF(E$74="","",LEFT(基本設定!G7,1)))</f>
        <v>−</v>
      </c>
      <c r="F79" s="16" t="str">
        <f>IF(F$74=3,"日",IF(F$74="","",LEFT(基本設定!H7,1)))</f>
        <v>日</v>
      </c>
      <c r="G79" s="16" t="str">
        <f>IF(G$74=3,"日",IF(G$74="","",LEFT(基本設定!I7,1)))</f>
        <v>−</v>
      </c>
      <c r="H79" s="18" t="str">
        <f>IF(H$74=3,"日","")</f>
        <v/>
      </c>
      <c r="I79" s="18" t="str">
        <f>IF(I$74=3,"日","")</f>
        <v/>
      </c>
      <c r="J79" s="16" t="str">
        <f>IF(J$74=4,"日",IF(J$74=3,"日",IF(J$74="","",LEFT(基本設定!E7,1))))</f>
        <v>−</v>
      </c>
      <c r="K79" s="16" t="str">
        <f>IF(K$74=3,"日",IF(K$74="","",LEFT(基本設定!F7,1)))</f>
        <v>−</v>
      </c>
      <c r="L79" s="16" t="str">
        <f>LEFT(基本設定!G7,1)</f>
        <v>−</v>
      </c>
      <c r="M79" s="16" t="str">
        <f>LEFT(基本設定!H7,1)</f>
        <v>−</v>
      </c>
      <c r="N79" s="16" t="str">
        <f>LEFT(基本設定!I7,1)</f>
        <v>−</v>
      </c>
      <c r="O79" s="18"/>
      <c r="P79" s="18"/>
      <c r="Q79" s="16" t="str">
        <f>LEFT(基本設定!E7,1)</f>
        <v>−</v>
      </c>
      <c r="R79" s="16" t="str">
        <f>LEFT(基本設定!F7,1)</f>
        <v>−</v>
      </c>
      <c r="S79" s="16" t="str">
        <f>LEFT(基本設定!G7,1)</f>
        <v>−</v>
      </c>
      <c r="T79" s="16" t="str">
        <f>LEFT(基本設定!H7,1)</f>
        <v>−</v>
      </c>
      <c r="U79" s="16" t="str">
        <f>LEFT(基本設定!I7,1)</f>
        <v>−</v>
      </c>
      <c r="V79" s="18"/>
      <c r="W79" s="18"/>
      <c r="X79" s="16" t="str">
        <f>LEFT(基本設定!E7,1)</f>
        <v>−</v>
      </c>
      <c r="Y79" s="16" t="str">
        <f>IF(Y$74=23,"謝",LEFT(基本設定!F7,1))</f>
        <v>−</v>
      </c>
      <c r="Z79" s="16" t="str">
        <f>IF(Z$74=23,"謝",LEFT(基本設定!G7,1))</f>
        <v>謝</v>
      </c>
      <c r="AA79" s="16" t="str">
        <f>IF(AA$74=23,"謝",LEFT(基本設定!H7,1))</f>
        <v>−</v>
      </c>
      <c r="AB79" s="16" t="str">
        <f>IF(AB$74=23,"謝",LEFT(基本設定!I7,1))</f>
        <v>−</v>
      </c>
      <c r="AC79" s="18" t="str">
        <f>IF(AC$74=23,"謝","")</f>
        <v/>
      </c>
      <c r="AD79" s="18" t="str">
        <f>IF(AD$74=23,"謝","")</f>
        <v/>
      </c>
      <c r="AE79" s="16" t="str">
        <f>IF(AE$74=24,"日",IF(AE$74=23,"謝",LEFT(基本設定!E7,1)))</f>
        <v>−</v>
      </c>
      <c r="AF79" s="16" t="str">
        <f>IF(AF$74="","",LEFT(基本設定!F7,1))</f>
        <v>−</v>
      </c>
      <c r="AG79" s="16" t="str">
        <f>IF(AG$74="","",LEFT(基本設定!G7,1))</f>
        <v>−</v>
      </c>
      <c r="AH79" s="16" t="str">
        <f>IF(AH$74="","",LEFT(基本設定!H7,1))</f>
        <v/>
      </c>
      <c r="AI79" s="16" t="str">
        <f>IF(AI$74="","",LEFT(基本設定!I7,1))</f>
        <v/>
      </c>
      <c r="AJ79" s="18"/>
      <c r="AK79" s="18"/>
      <c r="AL79" s="16" t="str">
        <f>IF(AL$74="","",LEFT(基本設定!E7,1))</f>
        <v/>
      </c>
    </row>
    <row r="80" spans="2:39" x14ac:dyDescent="0.15">
      <c r="B80" s="5">
        <v>5</v>
      </c>
      <c r="C80" s="16" t="str">
        <f>IF(C$74="","",LEFT(基本設定!E8,1))</f>
        <v/>
      </c>
      <c r="D80" s="16" t="str">
        <f>IF(D$74="","",LEFT(基本設定!F8,1))</f>
        <v>−</v>
      </c>
      <c r="E80" s="16" t="str">
        <f>IF(E$74=3,"",IF(E$74="","",LEFT(基本設定!G8,1)))</f>
        <v>−</v>
      </c>
      <c r="F80" s="16" t="str">
        <f>IF(F$74=3,"",IF(F$74="","",LEFT(基本設定!H8,1)))</f>
        <v/>
      </c>
      <c r="G80" s="16" t="str">
        <f>IF(G$74=3,"",IF(G$74="","",LEFT(基本設定!I8,1)))</f>
        <v>−</v>
      </c>
      <c r="H80" s="18" t="str">
        <f>IF(H$74=3,"","")</f>
        <v/>
      </c>
      <c r="I80" s="18" t="str">
        <f>IF(I$74=3,"","")</f>
        <v/>
      </c>
      <c r="J80" s="16" t="str">
        <f>IF(J$74=4,"",IF(J$74=3,"",IF(J$74="","",LEFT(基本設定!E8,1))))</f>
        <v>−</v>
      </c>
      <c r="K80" s="16" t="str">
        <f>IF(K$74=3,"",IF(K$74="","",LEFT(基本設定!F8,1)))</f>
        <v>−</v>
      </c>
      <c r="L80" s="16" t="str">
        <f>LEFT(基本設定!G8,1)</f>
        <v>−</v>
      </c>
      <c r="M80" s="16" t="str">
        <f>LEFT(基本設定!H8,1)</f>
        <v>−</v>
      </c>
      <c r="N80" s="16" t="str">
        <f>LEFT(基本設定!I8,1)</f>
        <v>−</v>
      </c>
      <c r="O80" s="18"/>
      <c r="P80" s="18"/>
      <c r="Q80" s="16" t="str">
        <f>LEFT(基本設定!E8,1)</f>
        <v>−</v>
      </c>
      <c r="R80" s="16" t="str">
        <f>LEFT(基本設定!F8,1)</f>
        <v>−</v>
      </c>
      <c r="S80" s="16" t="str">
        <f>LEFT(基本設定!G8,1)</f>
        <v>−</v>
      </c>
      <c r="T80" s="16" t="str">
        <f>LEFT(基本設定!H8,1)</f>
        <v>−</v>
      </c>
      <c r="U80" s="16" t="str">
        <f>LEFT(基本設定!I8,1)</f>
        <v>−</v>
      </c>
      <c r="V80" s="18"/>
      <c r="W80" s="18"/>
      <c r="X80" s="16" t="str">
        <f>LEFT(基本設定!E8,1)</f>
        <v>−</v>
      </c>
      <c r="Y80" s="16" t="str">
        <f>IF(Y$74=23,"の",LEFT(基本設定!F8,1))</f>
        <v>−</v>
      </c>
      <c r="Z80" s="16" t="str">
        <f>IF(Z$74=23,"の",LEFT(基本設定!G8,1))</f>
        <v>の</v>
      </c>
      <c r="AA80" s="16" t="str">
        <f>IF(AA$74=23,"の",LEFT(基本設定!H8,1))</f>
        <v>−</v>
      </c>
      <c r="AB80" s="16" t="str">
        <f>IF(AB$74=23,"の",LEFT(基本設定!I8,1))</f>
        <v>−</v>
      </c>
      <c r="AC80" s="18" t="str">
        <f>IF(AC$74=23,"の","")</f>
        <v/>
      </c>
      <c r="AD80" s="18" t="str">
        <f>IF(AD$74=23,"の","")</f>
        <v/>
      </c>
      <c r="AE80" s="16" t="str">
        <f>IF(AE$74=24,"",IF(AE$74=23,"の",LEFT(基本設定!E8,1)))</f>
        <v>−</v>
      </c>
      <c r="AF80" s="16" t="str">
        <f>IF(AF$74="","",LEFT(基本設定!F8,1))</f>
        <v>−</v>
      </c>
      <c r="AG80" s="16" t="str">
        <f>IF(AG$74="","",LEFT(基本設定!G8,1))</f>
        <v>−</v>
      </c>
      <c r="AH80" s="16" t="str">
        <f>IF(AH$74="","",LEFT(基本設定!H8,1))</f>
        <v/>
      </c>
      <c r="AI80" s="16" t="str">
        <f>IF(AI$74="","",LEFT(基本設定!I8,1))</f>
        <v/>
      </c>
      <c r="AJ80" s="18"/>
      <c r="AK80" s="18"/>
      <c r="AL80" s="16" t="str">
        <f>IF(AL$74="","",LEFT(基本設定!E8,1))</f>
        <v/>
      </c>
    </row>
    <row r="81" spans="2:39" x14ac:dyDescent="0.15">
      <c r="B81" s="5">
        <v>6</v>
      </c>
      <c r="C81" s="16" t="str">
        <f>IF(C$74="","",LEFT(基本設定!E9,1))</f>
        <v/>
      </c>
      <c r="D81" s="16" t="str">
        <f>IF(D$74="","",LEFT(基本設定!F9,1))</f>
        <v>−</v>
      </c>
      <c r="E81" s="16" t="str">
        <f>IF(E$74=3,"",IF(E$74="","",LEFT(基本設定!G9,1)))</f>
        <v>−</v>
      </c>
      <c r="F81" s="16" t="str">
        <f>IF(F$74=3,"",IF(F$74="","",LEFT(基本設定!H9,1)))</f>
        <v/>
      </c>
      <c r="G81" s="16" t="str">
        <f>IF(G$74=3,"",IF(G$74="","",LEFT(基本設定!I9,1)))</f>
        <v>−</v>
      </c>
      <c r="H81" s="18" t="str">
        <f>IF(H$74=3,"","")</f>
        <v/>
      </c>
      <c r="I81" s="18" t="str">
        <f>IF(I$74=3,"","")</f>
        <v/>
      </c>
      <c r="J81" s="16" t="str">
        <f>IF(J$74=4,"",IF(J$74=3,"",IF(J$74="","",LEFT(基本設定!E9,1))))</f>
        <v>−</v>
      </c>
      <c r="K81" s="16" t="str">
        <f>IF(K$74=3,"",IF(K$74="","",LEFT(基本設定!F9,1)))</f>
        <v>−</v>
      </c>
      <c r="L81" s="16" t="str">
        <f>LEFT(基本設定!G9,1)</f>
        <v>−</v>
      </c>
      <c r="M81" s="16" t="str">
        <f>LEFT(基本設定!H9,1)</f>
        <v>−</v>
      </c>
      <c r="N81" s="16" t="str">
        <f>LEFT(基本設定!I9,1)</f>
        <v>−</v>
      </c>
      <c r="O81" s="18"/>
      <c r="P81" s="18"/>
      <c r="Q81" s="16" t="str">
        <f>LEFT(基本設定!E9,1)</f>
        <v>−</v>
      </c>
      <c r="R81" s="16" t="str">
        <f>LEFT(基本設定!F9,1)</f>
        <v>−</v>
      </c>
      <c r="S81" s="16" t="str">
        <f>LEFT(基本設定!G9,1)</f>
        <v>−</v>
      </c>
      <c r="T81" s="16" t="str">
        <f>LEFT(基本設定!H9,1)</f>
        <v>−</v>
      </c>
      <c r="U81" s="16" t="str">
        <f>LEFT(基本設定!I9,1)</f>
        <v>−</v>
      </c>
      <c r="V81" s="18"/>
      <c r="W81" s="18"/>
      <c r="X81" s="16" t="str">
        <f>LEFT(基本設定!E9,1)</f>
        <v>−</v>
      </c>
      <c r="Y81" s="16" t="str">
        <f>IF(Y$74=23,"日",LEFT(基本設定!F9,1))</f>
        <v>−</v>
      </c>
      <c r="Z81" s="16" t="str">
        <f>IF(Z$74=23,"日",LEFT(基本設定!G9,1))</f>
        <v>日</v>
      </c>
      <c r="AA81" s="16" t="str">
        <f>IF(AA$74=23,"日",LEFT(基本設定!H9,1))</f>
        <v>−</v>
      </c>
      <c r="AB81" s="16" t="str">
        <f>IF(AB$74=23,"日",LEFT(基本設定!I9,1))</f>
        <v>−</v>
      </c>
      <c r="AC81" s="18" t="str">
        <f>IF(AC$74=23,"日","")</f>
        <v/>
      </c>
      <c r="AD81" s="18" t="str">
        <f>IF(AD$74=23,"日","")</f>
        <v/>
      </c>
      <c r="AE81" s="16" t="str">
        <f>IF(AE$74=24,"",IF(AE$74=23,"日",LEFT(基本設定!E9,1)))</f>
        <v>−</v>
      </c>
      <c r="AF81" s="16" t="str">
        <f>IF(AF$74="","",LEFT(基本設定!F9,1))</f>
        <v>−</v>
      </c>
      <c r="AG81" s="16" t="str">
        <f>IF(AG$74="","",LEFT(基本設定!G9,1))</f>
        <v>−</v>
      </c>
      <c r="AH81" s="16" t="str">
        <f>IF(AH$74="","",LEFT(基本設定!H9,1))</f>
        <v/>
      </c>
      <c r="AI81" s="16" t="str">
        <f>IF(AI$74="","",LEFT(基本設定!I9,1))</f>
        <v/>
      </c>
      <c r="AJ81" s="18"/>
      <c r="AK81" s="18"/>
      <c r="AL81" s="16" t="str">
        <f>IF(AL$74="","",LEFT(基本設定!E9,1))</f>
        <v/>
      </c>
    </row>
    <row r="83" spans="2:39" x14ac:dyDescent="0.15">
      <c r="B83" s="13">
        <v>12</v>
      </c>
      <c r="C83" s="14" t="s">
        <v>26</v>
      </c>
    </row>
    <row r="84" spans="2:39" x14ac:dyDescent="0.15">
      <c r="B84" s="5"/>
      <c r="C84" s="5" t="str">
        <f>IF(WEEKDAY(DATE($C$1+1988,$B$83,1),2)=1,1,"")</f>
        <v/>
      </c>
      <c r="D84" s="5" t="str">
        <f>IF(C84="",IF(WEEKDAY(DATE($C$1+1988,$B$83,1),2)=2,1,""),C84+1)</f>
        <v/>
      </c>
      <c r="E84" s="5" t="str">
        <f>IF(D84="",IF(WEEKDAY(DATE($C$1+1988,$B$83,1),2)=3,1,""),D84+1)</f>
        <v/>
      </c>
      <c r="F84" s="5">
        <f>IF(E84="",IF(WEEKDAY(DATE($C$1+1988,$B$83,1),2)=4,1,""),E84+1)</f>
        <v>1</v>
      </c>
      <c r="G84" s="5">
        <f>IF(F84="",IF(WEEKDAY(DATE($C$1+1988,$B$83,1),2)=5,1,""),F84+1)</f>
        <v>2</v>
      </c>
      <c r="H84" s="8">
        <f>IF(G84="",IF(WEEKDAY(DATE($C$1+1988,$B$83,1),2)=6,1,""),G84+1)</f>
        <v>3</v>
      </c>
      <c r="I84" s="8">
        <f>IF(H84="",IF(WEEKDAY(DATE($C$1+1988,$B$83,1),2)=7,1,""),H84+1)</f>
        <v>4</v>
      </c>
      <c r="J84" s="5">
        <f>I84+1</f>
        <v>5</v>
      </c>
      <c r="K84" s="5">
        <f t="shared" ref="K84" si="173">J84+1</f>
        <v>6</v>
      </c>
      <c r="L84" s="5">
        <f t="shared" ref="L84" si="174">K84+1</f>
        <v>7</v>
      </c>
      <c r="M84" s="5">
        <f t="shared" ref="M84" si="175">L84+1</f>
        <v>8</v>
      </c>
      <c r="N84" s="5">
        <f t="shared" ref="N84" si="176">M84+1</f>
        <v>9</v>
      </c>
      <c r="O84" s="8">
        <f t="shared" ref="O84" si="177">N84+1</f>
        <v>10</v>
      </c>
      <c r="P84" s="8">
        <f t="shared" ref="P84" si="178">O84+1</f>
        <v>11</v>
      </c>
      <c r="Q84" s="5">
        <f t="shared" ref="Q84" si="179">P84+1</f>
        <v>12</v>
      </c>
      <c r="R84" s="5">
        <f t="shared" ref="R84" si="180">Q84+1</f>
        <v>13</v>
      </c>
      <c r="S84" s="5">
        <f t="shared" ref="S84" si="181">R84+1</f>
        <v>14</v>
      </c>
      <c r="T84" s="5">
        <f t="shared" ref="T84" si="182">S84+1</f>
        <v>15</v>
      </c>
      <c r="U84" s="5">
        <f t="shared" ref="U84" si="183">T84+1</f>
        <v>16</v>
      </c>
      <c r="V84" s="8">
        <f t="shared" ref="V84" si="184">U84+1</f>
        <v>17</v>
      </c>
      <c r="W84" s="8">
        <f t="shared" ref="W84" si="185">V84+1</f>
        <v>18</v>
      </c>
      <c r="X84" s="5">
        <f t="shared" ref="X84" si="186">W84+1</f>
        <v>19</v>
      </c>
      <c r="Y84" s="5">
        <f t="shared" ref="Y84" si="187">X84+1</f>
        <v>20</v>
      </c>
      <c r="Z84" s="5">
        <f t="shared" ref="Z84" si="188">Y84+1</f>
        <v>21</v>
      </c>
      <c r="AA84" s="5">
        <f t="shared" ref="AA84" si="189">Z84+1</f>
        <v>22</v>
      </c>
      <c r="AB84" s="5">
        <f t="shared" ref="AB84" si="190">AA84+1</f>
        <v>23</v>
      </c>
      <c r="AC84" s="8">
        <f t="shared" ref="AC84" si="191">AB84+1</f>
        <v>24</v>
      </c>
      <c r="AD84" s="8">
        <f t="shared" ref="AD84" si="192">AC84+1</f>
        <v>25</v>
      </c>
      <c r="AE84" s="5">
        <f t="shared" ref="AE84" si="193">AD84+1</f>
        <v>26</v>
      </c>
      <c r="AF84" s="5">
        <f>IFERROR(IF(AE84=31,"",AE84+1),"")</f>
        <v>27</v>
      </c>
      <c r="AG84" s="5">
        <f t="shared" ref="AG84" si="194">IFERROR(IF(AF84=31,"",AF84+1),"")</f>
        <v>28</v>
      </c>
      <c r="AH84" s="5">
        <f t="shared" ref="AH84" si="195">IFERROR(IF(AG84=31,"",AG84+1),"")</f>
        <v>29</v>
      </c>
      <c r="AI84" s="5">
        <f t="shared" ref="AI84" si="196">IFERROR(IF(AH84=31,"",AH84+1),"")</f>
        <v>30</v>
      </c>
      <c r="AJ84" s="8">
        <f t="shared" ref="AJ84" si="197">IFERROR(IF(AI84=31,"",AI84+1),"")</f>
        <v>31</v>
      </c>
      <c r="AK84" s="8" t="str">
        <f t="shared" ref="AK84" si="198">IFERROR(IF(AJ84=31,"",AJ84+1),"")</f>
        <v/>
      </c>
      <c r="AL84" s="5" t="str">
        <f t="shared" ref="AL84" si="199">IFERROR(IF(AK84=31,"",AK84+1),"")</f>
        <v/>
      </c>
      <c r="AM84" s="5" t="str">
        <f t="shared" ref="AM84" si="200">IFERROR(IF(AL84=31,"",AL84+1),"")</f>
        <v/>
      </c>
    </row>
    <row r="85" spans="2:39" x14ac:dyDescent="0.15">
      <c r="B85" s="5" t="s">
        <v>29</v>
      </c>
      <c r="C85" s="5" t="s">
        <v>3</v>
      </c>
      <c r="D85" s="5" t="s">
        <v>22</v>
      </c>
      <c r="E85" s="5" t="s">
        <v>23</v>
      </c>
      <c r="F85" s="5" t="s">
        <v>24</v>
      </c>
      <c r="G85" s="5" t="s">
        <v>25</v>
      </c>
      <c r="H85" s="8" t="s">
        <v>27</v>
      </c>
      <c r="I85" s="8" t="s">
        <v>28</v>
      </c>
      <c r="J85" s="5" t="s">
        <v>2</v>
      </c>
      <c r="K85" s="5" t="s">
        <v>4</v>
      </c>
      <c r="L85" s="5" t="s">
        <v>5</v>
      </c>
      <c r="M85" s="5" t="s">
        <v>6</v>
      </c>
      <c r="N85" s="5" t="s">
        <v>7</v>
      </c>
      <c r="O85" s="8" t="s">
        <v>27</v>
      </c>
      <c r="P85" s="8" t="s">
        <v>28</v>
      </c>
      <c r="Q85" s="5" t="s">
        <v>2</v>
      </c>
      <c r="R85" s="5" t="s">
        <v>4</v>
      </c>
      <c r="S85" s="5" t="s">
        <v>5</v>
      </c>
      <c r="T85" s="5" t="s">
        <v>6</v>
      </c>
      <c r="U85" s="5" t="s">
        <v>7</v>
      </c>
      <c r="V85" s="8" t="s">
        <v>27</v>
      </c>
      <c r="W85" s="8" t="s">
        <v>28</v>
      </c>
      <c r="X85" s="5" t="s">
        <v>2</v>
      </c>
      <c r="Y85" s="5" t="s">
        <v>4</v>
      </c>
      <c r="Z85" s="5" t="s">
        <v>5</v>
      </c>
      <c r="AA85" s="5" t="s">
        <v>6</v>
      </c>
      <c r="AB85" s="5" t="s">
        <v>7</v>
      </c>
      <c r="AC85" s="8" t="s">
        <v>27</v>
      </c>
      <c r="AD85" s="8" t="s">
        <v>28</v>
      </c>
      <c r="AE85" s="5" t="s">
        <v>2</v>
      </c>
      <c r="AF85" s="5" t="s">
        <v>4</v>
      </c>
      <c r="AG85" s="5" t="s">
        <v>5</v>
      </c>
      <c r="AH85" s="5" t="s">
        <v>6</v>
      </c>
      <c r="AI85" s="5" t="s">
        <v>7</v>
      </c>
      <c r="AJ85" s="8" t="s">
        <v>27</v>
      </c>
      <c r="AK85" s="8" t="s">
        <v>28</v>
      </c>
      <c r="AL85" s="5" t="s">
        <v>2</v>
      </c>
      <c r="AM85" s="5" t="s">
        <v>4</v>
      </c>
    </row>
    <row r="86" spans="2:39" x14ac:dyDescent="0.15">
      <c r="B86" s="5">
        <v>1</v>
      </c>
      <c r="C86" s="16" t="str">
        <f>IF(C$84="","",LEFT(基本設定!E4,1))</f>
        <v/>
      </c>
      <c r="D86" s="16" t="str">
        <f>IF(D$84="","",LEFT(基本設定!F4,1))</f>
        <v/>
      </c>
      <c r="E86" s="16" t="str">
        <f>IF(E$84="","",LEFT(基本設定!G4,1))</f>
        <v/>
      </c>
      <c r="F86" s="16" t="str">
        <f>IF(F$84="","",LEFT(基本設定!H4,1))</f>
        <v>−</v>
      </c>
      <c r="G86" s="16" t="str">
        <f>IF(G$84="","",LEFT(基本設定!I4,1))</f>
        <v>−</v>
      </c>
      <c r="H86" s="18"/>
      <c r="I86" s="18"/>
      <c r="J86" s="16" t="str">
        <f>LEFT(基本設定!E4,1)</f>
        <v>−</v>
      </c>
      <c r="K86" s="16" t="str">
        <f>LEFT(基本設定!F4,1)</f>
        <v>−</v>
      </c>
      <c r="L86" s="16" t="str">
        <f>LEFT(基本設定!G4,1)</f>
        <v>−</v>
      </c>
      <c r="M86" s="16" t="str">
        <f>LEFT(基本設定!H4,1)</f>
        <v>−</v>
      </c>
      <c r="N86" s="16" t="str">
        <f>LEFT(基本設定!I4,1)</f>
        <v>−</v>
      </c>
      <c r="O86" s="18"/>
      <c r="P86" s="18"/>
      <c r="Q86" s="16" t="str">
        <f>LEFT(基本設定!E4,1)</f>
        <v>−</v>
      </c>
      <c r="R86" s="16" t="str">
        <f>LEFT(基本設定!F4,1)</f>
        <v>−</v>
      </c>
      <c r="S86" s="16" t="str">
        <f>LEFT(基本設定!G4,1)</f>
        <v>−</v>
      </c>
      <c r="T86" s="16" t="str">
        <f>LEFT(基本設定!H4,1)</f>
        <v>−</v>
      </c>
      <c r="U86" s="16" t="str">
        <f>LEFT(基本設定!I4,1)</f>
        <v>−</v>
      </c>
      <c r="V86" s="18"/>
      <c r="W86" s="18"/>
      <c r="X86" s="16" t="str">
        <f>LEFT(基本設定!E4,1)</f>
        <v>−</v>
      </c>
      <c r="Y86" s="16" t="str">
        <f>IF(Y$84=23,"天",LEFT(基本設定!F4,1))</f>
        <v>−</v>
      </c>
      <c r="Z86" s="16" t="str">
        <f>IF(Z$84&gt;=24,"",IF(Z$84=23,"天",LEFT(基本設定!G4,1)))</f>
        <v>−</v>
      </c>
      <c r="AA86" s="16" t="str">
        <f>IF(AA$84&gt;=24,"",IF(AA$84=23,"天",LEFT(基本設定!H4,1)))</f>
        <v>−</v>
      </c>
      <c r="AB86" s="16" t="str">
        <f>IF(AB$84&gt;=24,"",IF(AB$84=23,"天",LEFT(基本設定!I4,1)))</f>
        <v>天</v>
      </c>
      <c r="AC86" s="18" t="str">
        <f>IF(AC$84=23,"天","")</f>
        <v/>
      </c>
      <c r="AD86" s="18" t="str">
        <f>IF(AD$84=23,"天","")</f>
        <v/>
      </c>
      <c r="AE86" s="16" t="str">
        <f>IF(AE$84=24,"",IF(AE$84&gt;=25,"",IF(AE$84=23,"天",LEFT(基本設定!E4,1))))</f>
        <v/>
      </c>
      <c r="AF86" s="16"/>
      <c r="AG86" s="16"/>
      <c r="AH86" s="16"/>
      <c r="AI86" s="16"/>
      <c r="AJ86" s="18"/>
      <c r="AK86" s="18"/>
      <c r="AL86" s="16"/>
      <c r="AM86" s="16"/>
    </row>
    <row r="87" spans="2:39" x14ac:dyDescent="0.15">
      <c r="B87" s="5">
        <v>2</v>
      </c>
      <c r="C87" s="16" t="str">
        <f>IF(C$84="","",LEFT(基本設定!E5,1))</f>
        <v/>
      </c>
      <c r="D87" s="16" t="str">
        <f>IF(D$84="","",LEFT(基本設定!F5,1))</f>
        <v/>
      </c>
      <c r="E87" s="16" t="str">
        <f>IF(E$84="","",LEFT(基本設定!G5,1))</f>
        <v/>
      </c>
      <c r="F87" s="16" t="str">
        <f>IF(F$84="","",LEFT(基本設定!H5,1))</f>
        <v>−</v>
      </c>
      <c r="G87" s="16" t="str">
        <f>IF(G$84="","",LEFT(基本設定!I5,1))</f>
        <v>−</v>
      </c>
      <c r="H87" s="18"/>
      <c r="I87" s="18"/>
      <c r="J87" s="16" t="str">
        <f>LEFT(基本設定!E5,1)</f>
        <v>−</v>
      </c>
      <c r="K87" s="16" t="str">
        <f>LEFT(基本設定!F5,1)</f>
        <v>−</v>
      </c>
      <c r="L87" s="16" t="str">
        <f>LEFT(基本設定!G5,1)</f>
        <v>−</v>
      </c>
      <c r="M87" s="16" t="str">
        <f>LEFT(基本設定!H5,1)</f>
        <v>−</v>
      </c>
      <c r="N87" s="16" t="str">
        <f>LEFT(基本設定!I5,1)</f>
        <v>−</v>
      </c>
      <c r="O87" s="18"/>
      <c r="P87" s="18"/>
      <c r="Q87" s="16" t="str">
        <f>LEFT(基本設定!E5,1)</f>
        <v>−</v>
      </c>
      <c r="R87" s="16" t="str">
        <f>LEFT(基本設定!F5,1)</f>
        <v>−</v>
      </c>
      <c r="S87" s="16" t="str">
        <f>LEFT(基本設定!G5,1)</f>
        <v>−</v>
      </c>
      <c r="T87" s="16" t="str">
        <f>LEFT(基本設定!H5,1)</f>
        <v>−</v>
      </c>
      <c r="U87" s="16" t="str">
        <f>LEFT(基本設定!I5,1)</f>
        <v>−</v>
      </c>
      <c r="V87" s="18"/>
      <c r="W87" s="18"/>
      <c r="X87" s="16" t="str">
        <f>LEFT(基本設定!E5,1)</f>
        <v>−</v>
      </c>
      <c r="Y87" s="16" t="str">
        <f>IF(Y$84=23,"皇",LEFT(基本設定!F5,1))</f>
        <v>−</v>
      </c>
      <c r="Z87" s="16" t="str">
        <f>IF(Z$84&gt;=24,"",IF(Z$84=23,"皇",LEFT(基本設定!G5,1)))</f>
        <v>−</v>
      </c>
      <c r="AA87" s="16" t="str">
        <f>IF(AA$84&gt;=24,"",IF(AA$84=23,"皇",LEFT(基本設定!H5,1)))</f>
        <v>−</v>
      </c>
      <c r="AB87" s="16" t="str">
        <f>IF(AB$84&gt;=24,"",IF(AB$84=23,"皇",LEFT(基本設定!I5,1)))</f>
        <v>皇</v>
      </c>
      <c r="AC87" s="18" t="str">
        <f>IF(AC$84=23,"皇","")</f>
        <v/>
      </c>
      <c r="AD87" s="18" t="str">
        <f>IF(AD$84=23,"皇","")</f>
        <v/>
      </c>
      <c r="AE87" s="16" t="str">
        <f>IF(AE$84=24,"休",IF(AE$84&gt;=25,"",IF(AE$84=23,"皇",LEFT(基本設定!E5,1))))</f>
        <v/>
      </c>
      <c r="AF87" s="16"/>
      <c r="AG87" s="16"/>
      <c r="AH87" s="16"/>
      <c r="AI87" s="16"/>
      <c r="AJ87" s="18"/>
      <c r="AK87" s="18"/>
      <c r="AL87" s="16"/>
      <c r="AM87" s="16"/>
    </row>
    <row r="88" spans="2:39" x14ac:dyDescent="0.15">
      <c r="B88" s="5">
        <v>3</v>
      </c>
      <c r="C88" s="16" t="str">
        <f>IF(C$84="","",LEFT(基本設定!E6,1))</f>
        <v/>
      </c>
      <c r="D88" s="16" t="str">
        <f>IF(D$84="","",LEFT(基本設定!F6,1))</f>
        <v/>
      </c>
      <c r="E88" s="16" t="str">
        <f>IF(E$84="","",LEFT(基本設定!G6,1))</f>
        <v/>
      </c>
      <c r="F88" s="16" t="str">
        <f>IF(F$84="","",LEFT(基本設定!H6,1))</f>
        <v>−</v>
      </c>
      <c r="G88" s="16" t="str">
        <f>IF(G$84="","",LEFT(基本設定!I6,1))</f>
        <v>−</v>
      </c>
      <c r="H88" s="18"/>
      <c r="I88" s="18"/>
      <c r="J88" s="16" t="str">
        <f>LEFT(基本設定!E6,1)</f>
        <v>−</v>
      </c>
      <c r="K88" s="16" t="str">
        <f>LEFT(基本設定!F6,1)</f>
        <v>−</v>
      </c>
      <c r="L88" s="16" t="str">
        <f>LEFT(基本設定!G6,1)</f>
        <v>−</v>
      </c>
      <c r="M88" s="16" t="str">
        <f>LEFT(基本設定!H6,1)</f>
        <v>−</v>
      </c>
      <c r="N88" s="16" t="str">
        <f>LEFT(基本設定!I6,1)</f>
        <v>−</v>
      </c>
      <c r="O88" s="18"/>
      <c r="P88" s="18"/>
      <c r="Q88" s="16" t="str">
        <f>LEFT(基本設定!E6,1)</f>
        <v>−</v>
      </c>
      <c r="R88" s="16" t="str">
        <f>LEFT(基本設定!F6,1)</f>
        <v>−</v>
      </c>
      <c r="S88" s="16" t="str">
        <f>LEFT(基本設定!G6,1)</f>
        <v>−</v>
      </c>
      <c r="T88" s="16" t="str">
        <f>LEFT(基本設定!H6,1)</f>
        <v>−</v>
      </c>
      <c r="U88" s="16" t="str">
        <f>LEFT(基本設定!I6,1)</f>
        <v>−</v>
      </c>
      <c r="V88" s="18"/>
      <c r="W88" s="18"/>
      <c r="X88" s="16" t="str">
        <f>LEFT(基本設定!E6,1)</f>
        <v>−</v>
      </c>
      <c r="Y88" s="16" t="str">
        <f>IF(Y$84=23,"誕",LEFT(基本設定!F6,1))</f>
        <v>−</v>
      </c>
      <c r="Z88" s="16" t="str">
        <f>IF(Z$84&gt;=24,"",IF(Z$84=23,"誕",LEFT(基本設定!G6,1)))</f>
        <v>−</v>
      </c>
      <c r="AA88" s="16" t="str">
        <f>IF(AA$84&gt;=24,"",IF(AA$84=23,"誕",LEFT(基本設定!H6,1)))</f>
        <v>−</v>
      </c>
      <c r="AB88" s="16" t="str">
        <f>IF(AB$84&gt;=24,"",IF(AB$84=23,"誕",LEFT(基本設定!I6,1)))</f>
        <v>誕</v>
      </c>
      <c r="AC88" s="18" t="str">
        <f>IF(AC$84=23,"誕","")</f>
        <v/>
      </c>
      <c r="AD88" s="18" t="str">
        <f>IF(AD$84=23,"誕","")</f>
        <v/>
      </c>
      <c r="AE88" s="16" t="str">
        <f>IF(AE$84=24,"",IF(AE$84&gt;=25,"",IF(AE$84=23,"誕",LEFT(基本設定!E6,1))))</f>
        <v/>
      </c>
      <c r="AF88" s="16"/>
      <c r="AG88" s="16"/>
      <c r="AH88" s="16"/>
      <c r="AI88" s="16"/>
      <c r="AJ88" s="18"/>
      <c r="AK88" s="18"/>
      <c r="AL88" s="16"/>
      <c r="AM88" s="16"/>
    </row>
    <row r="89" spans="2:39" x14ac:dyDescent="0.15">
      <c r="B89" s="5">
        <v>4</v>
      </c>
      <c r="C89" s="16" t="str">
        <f>IF(C$84="","",LEFT(基本設定!E7,1))</f>
        <v/>
      </c>
      <c r="D89" s="16" t="str">
        <f>IF(D$84="","",LEFT(基本設定!F7,1))</f>
        <v/>
      </c>
      <c r="E89" s="16" t="str">
        <f>IF(E$84="","",LEFT(基本設定!G7,1))</f>
        <v/>
      </c>
      <c r="F89" s="16" t="str">
        <f>IF(F$84="","",LEFT(基本設定!H7,1))</f>
        <v>−</v>
      </c>
      <c r="G89" s="16" t="str">
        <f>IF(G$84="","",LEFT(基本設定!I7,1))</f>
        <v>−</v>
      </c>
      <c r="H89" s="18"/>
      <c r="I89" s="18"/>
      <c r="J89" s="16" t="str">
        <f>LEFT(基本設定!E7,1)</f>
        <v>−</v>
      </c>
      <c r="K89" s="16" t="str">
        <f>LEFT(基本設定!F7,1)</f>
        <v>−</v>
      </c>
      <c r="L89" s="16" t="str">
        <f>LEFT(基本設定!G7,1)</f>
        <v>−</v>
      </c>
      <c r="M89" s="16" t="str">
        <f>LEFT(基本設定!H7,1)</f>
        <v>−</v>
      </c>
      <c r="N89" s="16" t="str">
        <f>LEFT(基本設定!I7,1)</f>
        <v>−</v>
      </c>
      <c r="O89" s="18"/>
      <c r="P89" s="18"/>
      <c r="Q89" s="16" t="str">
        <f>LEFT(基本設定!E7,1)</f>
        <v>−</v>
      </c>
      <c r="R89" s="16" t="str">
        <f>LEFT(基本設定!F7,1)</f>
        <v>−</v>
      </c>
      <c r="S89" s="16" t="str">
        <f>LEFT(基本設定!G7,1)</f>
        <v>−</v>
      </c>
      <c r="T89" s="16" t="str">
        <f>LEFT(基本設定!H7,1)</f>
        <v>−</v>
      </c>
      <c r="U89" s="16" t="str">
        <f>LEFT(基本設定!I7,1)</f>
        <v>−</v>
      </c>
      <c r="V89" s="18"/>
      <c r="W89" s="18"/>
      <c r="X89" s="16" t="str">
        <f>LEFT(基本設定!E7,1)</f>
        <v>−</v>
      </c>
      <c r="Y89" s="16" t="str">
        <f>IF(Y$84=23," 生 ",LEFT(基本設定!F7,1))</f>
        <v>−</v>
      </c>
      <c r="Z89" s="16" t="str">
        <f>IF(Z$84&gt;=24,"",IF(Z$84=23," 生 ",LEFT(基本設定!G7,1)))</f>
        <v>−</v>
      </c>
      <c r="AA89" s="16" t="str">
        <f>IF(AA$84&gt;=24,"",IF(AA$84=23," 生 ",LEFT(基本設定!H7,1)))</f>
        <v>−</v>
      </c>
      <c r="AB89" s="16" t="str">
        <f>IF(AB$84&gt;=24,"",IF(AB$84=23," 生 ",LEFT(基本設定!I7,1)))</f>
        <v xml:space="preserve"> 生 </v>
      </c>
      <c r="AC89" s="18" t="str">
        <f>IF(AC$84=23," 生 ","")</f>
        <v/>
      </c>
      <c r="AD89" s="18" t="str">
        <f>IF(AD$84=23," 生 ","")</f>
        <v/>
      </c>
      <c r="AE89" s="16" t="str">
        <f>IF(AE$84=24,"日",IF(AE$84&gt;=25,"",IF(AE$84=23," 生 ",LEFT(基本設定!E7,1))))</f>
        <v/>
      </c>
      <c r="AF89" s="16"/>
      <c r="AG89" s="16"/>
      <c r="AH89" s="16"/>
      <c r="AI89" s="16"/>
      <c r="AJ89" s="18"/>
      <c r="AK89" s="18"/>
      <c r="AL89" s="16"/>
      <c r="AM89" s="16"/>
    </row>
    <row r="90" spans="2:39" x14ac:dyDescent="0.15">
      <c r="B90" s="5">
        <v>5</v>
      </c>
      <c r="C90" s="16" t="str">
        <f>IF(C$84="","",LEFT(基本設定!E8,1))</f>
        <v/>
      </c>
      <c r="D90" s="16" t="str">
        <f>IF(D$84="","",LEFT(基本設定!F8,1))</f>
        <v/>
      </c>
      <c r="E90" s="16" t="str">
        <f>IF(E$84="","",LEFT(基本設定!G8,1))</f>
        <v/>
      </c>
      <c r="F90" s="16" t="str">
        <f>IF(F$84="","",LEFT(基本設定!H8,1))</f>
        <v>−</v>
      </c>
      <c r="G90" s="16" t="str">
        <f>IF(G$84="","",LEFT(基本設定!I8,1))</f>
        <v>−</v>
      </c>
      <c r="H90" s="18"/>
      <c r="I90" s="18"/>
      <c r="J90" s="16" t="str">
        <f>LEFT(基本設定!E8,1)</f>
        <v>−</v>
      </c>
      <c r="K90" s="16" t="str">
        <f>LEFT(基本設定!F8,1)</f>
        <v>−</v>
      </c>
      <c r="L90" s="16" t="str">
        <f>LEFT(基本設定!G8,1)</f>
        <v>−</v>
      </c>
      <c r="M90" s="16" t="str">
        <f>LEFT(基本設定!H8,1)</f>
        <v>−</v>
      </c>
      <c r="N90" s="16" t="str">
        <f>LEFT(基本設定!I8,1)</f>
        <v>−</v>
      </c>
      <c r="O90" s="18"/>
      <c r="P90" s="18"/>
      <c r="Q90" s="16" t="str">
        <f>LEFT(基本設定!E8,1)</f>
        <v>−</v>
      </c>
      <c r="R90" s="16" t="str">
        <f>LEFT(基本設定!F8,1)</f>
        <v>−</v>
      </c>
      <c r="S90" s="16" t="str">
        <f>LEFT(基本設定!G8,1)</f>
        <v>−</v>
      </c>
      <c r="T90" s="16" t="str">
        <f>LEFT(基本設定!H8,1)</f>
        <v>−</v>
      </c>
      <c r="U90" s="16" t="str">
        <f>LEFT(基本設定!I8,1)</f>
        <v>−</v>
      </c>
      <c r="V90" s="18"/>
      <c r="W90" s="18"/>
      <c r="X90" s="16" t="str">
        <f>LEFT(基本設定!E8,1)</f>
        <v>−</v>
      </c>
      <c r="Y90" s="16" t="str">
        <f>IF(Y$84=23,"日",LEFT(基本設定!F8,1))</f>
        <v>−</v>
      </c>
      <c r="Z90" s="16" t="str">
        <f>IF(Z$84&gt;=24,"",IF(Z$84=23,"日",LEFT(基本設定!G8,1)))</f>
        <v>−</v>
      </c>
      <c r="AA90" s="16" t="str">
        <f>IF(AA$84&gt;=24,"",IF(AA$84=23,"日",LEFT(基本設定!H8,1)))</f>
        <v>−</v>
      </c>
      <c r="AB90" s="16" t="str">
        <f>IF(AB$84&gt;=24,"",IF(AB$84=23,"日",LEFT(基本設定!I8,1)))</f>
        <v>日</v>
      </c>
      <c r="AC90" s="18" t="str">
        <f>IF(AC$84=23,"日","")</f>
        <v/>
      </c>
      <c r="AD90" s="18" t="str">
        <f>IF(AD$84=23,"日","")</f>
        <v/>
      </c>
      <c r="AE90" s="16" t="str">
        <f>IF(AE$84=24,"",IF(AE$84&gt;=25,"",IF(AE$84=23,"日",LEFT(基本設定!E8,1))))</f>
        <v/>
      </c>
      <c r="AF90" s="16"/>
      <c r="AG90" s="16"/>
      <c r="AH90" s="16"/>
      <c r="AI90" s="16"/>
      <c r="AJ90" s="18"/>
      <c r="AK90" s="18"/>
      <c r="AL90" s="16"/>
      <c r="AM90" s="16"/>
    </row>
    <row r="91" spans="2:39" x14ac:dyDescent="0.15">
      <c r="B91" s="5">
        <v>6</v>
      </c>
      <c r="C91" s="16" t="str">
        <f>IF(C$84="","",LEFT(基本設定!E9,1))</f>
        <v/>
      </c>
      <c r="D91" s="16" t="str">
        <f>IF(D$84="","",LEFT(基本設定!F9,1))</f>
        <v/>
      </c>
      <c r="E91" s="16" t="str">
        <f>IF(E$84="","",LEFT(基本設定!G9,1))</f>
        <v/>
      </c>
      <c r="F91" s="16" t="str">
        <f>IF(F$84="","",LEFT(基本設定!H9,1))</f>
        <v>−</v>
      </c>
      <c r="G91" s="16" t="str">
        <f>IF(G$84="","",LEFT(基本設定!I9,1))</f>
        <v>−</v>
      </c>
      <c r="H91" s="18"/>
      <c r="I91" s="18"/>
      <c r="J91" s="16" t="str">
        <f>LEFT(基本設定!E9,1)</f>
        <v>−</v>
      </c>
      <c r="K91" s="16" t="str">
        <f>LEFT(基本設定!F9,1)</f>
        <v>−</v>
      </c>
      <c r="L91" s="16" t="str">
        <f>LEFT(基本設定!G9,1)</f>
        <v>−</v>
      </c>
      <c r="M91" s="16" t="str">
        <f>LEFT(基本設定!H9,1)</f>
        <v>−</v>
      </c>
      <c r="N91" s="16" t="str">
        <f>LEFT(基本設定!I9,1)</f>
        <v>−</v>
      </c>
      <c r="O91" s="18"/>
      <c r="P91" s="18"/>
      <c r="Q91" s="16" t="str">
        <f>LEFT(基本設定!E9,1)</f>
        <v>−</v>
      </c>
      <c r="R91" s="16" t="str">
        <f>LEFT(基本設定!F9,1)</f>
        <v>−</v>
      </c>
      <c r="S91" s="16" t="str">
        <f>LEFT(基本設定!G9,1)</f>
        <v>−</v>
      </c>
      <c r="T91" s="16" t="str">
        <f>LEFT(基本設定!H9,1)</f>
        <v>−</v>
      </c>
      <c r="U91" s="16" t="str">
        <f>LEFT(基本設定!I9,1)</f>
        <v>−</v>
      </c>
      <c r="V91" s="18"/>
      <c r="W91" s="18"/>
      <c r="X91" s="16" t="str">
        <f>LEFT(基本設定!E9,1)</f>
        <v>−</v>
      </c>
      <c r="Y91" s="16" t="str">
        <f>IF(Y$84=23,"",LEFT(基本設定!F9,1))</f>
        <v>−</v>
      </c>
      <c r="Z91" s="16" t="str">
        <f>IF(Z$84&gt;=24,"",IF(Z$84=23,"",LEFT(基本設定!G9,1)))</f>
        <v>−</v>
      </c>
      <c r="AA91" s="16" t="str">
        <f>IF(AA$84&gt;=24,"",IF(AA$84=23,"",LEFT(基本設定!H9,1)))</f>
        <v>−</v>
      </c>
      <c r="AB91" s="16" t="str">
        <f>IF(AB$84&gt;=24,"",IF(AB$84=23,"",LEFT(基本設定!I9,1)))</f>
        <v/>
      </c>
      <c r="AC91" s="18" t="str">
        <f>IF(AC$84=23,"","")</f>
        <v/>
      </c>
      <c r="AD91" s="18" t="str">
        <f>IF(AD$84=23,"","")</f>
        <v/>
      </c>
      <c r="AE91" s="16" t="str">
        <f>IF(AE$84=24,"",IF(AE$84&gt;=25,"",IF(AE$84=23,"",LEFT(基本設定!E9,1))))</f>
        <v/>
      </c>
      <c r="AF91" s="16"/>
      <c r="AG91" s="16"/>
      <c r="AH91" s="16"/>
      <c r="AI91" s="16"/>
      <c r="AJ91" s="18"/>
      <c r="AK91" s="18"/>
      <c r="AL91" s="16"/>
      <c r="AM91" s="16"/>
    </row>
    <row r="93" spans="2:39" x14ac:dyDescent="0.15">
      <c r="B93" s="13">
        <v>1</v>
      </c>
      <c r="C93" s="14" t="s">
        <v>26</v>
      </c>
    </row>
    <row r="94" spans="2:39" x14ac:dyDescent="0.15">
      <c r="B94" s="5"/>
      <c r="C94" s="5" t="str">
        <f>IF(WEEKDAY(DATE($C$1+1989,$B$93,1),2)=1,1,"")</f>
        <v/>
      </c>
      <c r="D94" s="5" t="str">
        <f>IF(C94="",IF(WEEKDAY(DATE($C$1+1989,$B$93,1),2)=2,1,""),C94+1)</f>
        <v/>
      </c>
      <c r="E94" s="5" t="str">
        <f>IF(D94="",IF(WEEKDAY(DATE($C$1+1989,$B$93,1),2)=3,1,""),D94+1)</f>
        <v/>
      </c>
      <c r="F94" s="5" t="str">
        <f>IF(E94="",IF(WEEKDAY(DATE($C$1+1989,$B$93,1),2)=4,1,""),E94+1)</f>
        <v/>
      </c>
      <c r="G94" s="5" t="str">
        <f>IF(F94="",IF(WEEKDAY(DATE($C$1+1989,$B$93,1),2)=5,1,""),F94+1)</f>
        <v/>
      </c>
      <c r="H94" s="8" t="str">
        <f>IF(G94="",IF(WEEKDAY(DATE($C$1+1989,$B$93,1),2)=6,1,""),G94+1)</f>
        <v/>
      </c>
      <c r="I94" s="8">
        <f>IF(H94="",IF(WEEKDAY(DATE($C$1+1989,$B$93,1),2)=7,1,""),H94+1)</f>
        <v>1</v>
      </c>
      <c r="J94" s="5">
        <f>I94+1</f>
        <v>2</v>
      </c>
      <c r="K94" s="5">
        <f t="shared" ref="K94" si="201">J94+1</f>
        <v>3</v>
      </c>
      <c r="L94" s="5">
        <f t="shared" ref="L94" si="202">K94+1</f>
        <v>4</v>
      </c>
      <c r="M94" s="5">
        <f t="shared" ref="M94" si="203">L94+1</f>
        <v>5</v>
      </c>
      <c r="N94" s="5">
        <f t="shared" ref="N94" si="204">M94+1</f>
        <v>6</v>
      </c>
      <c r="O94" s="8">
        <f t="shared" ref="O94" si="205">N94+1</f>
        <v>7</v>
      </c>
      <c r="P94" s="8">
        <f t="shared" ref="P94" si="206">O94+1</f>
        <v>8</v>
      </c>
      <c r="Q94" s="5">
        <f t="shared" ref="Q94" si="207">P94+1</f>
        <v>9</v>
      </c>
      <c r="R94" s="5">
        <f t="shared" ref="R94" si="208">Q94+1</f>
        <v>10</v>
      </c>
      <c r="S94" s="5">
        <f t="shared" ref="S94" si="209">R94+1</f>
        <v>11</v>
      </c>
      <c r="T94" s="5">
        <f t="shared" ref="T94" si="210">S94+1</f>
        <v>12</v>
      </c>
      <c r="U94" s="5">
        <f t="shared" ref="U94" si="211">T94+1</f>
        <v>13</v>
      </c>
      <c r="V94" s="8">
        <f t="shared" ref="V94" si="212">U94+1</f>
        <v>14</v>
      </c>
      <c r="W94" s="8">
        <f t="shared" ref="W94" si="213">V94+1</f>
        <v>15</v>
      </c>
      <c r="X94" s="5">
        <f t="shared" ref="X94" si="214">W94+1</f>
        <v>16</v>
      </c>
      <c r="Y94" s="5">
        <f t="shared" ref="Y94" si="215">X94+1</f>
        <v>17</v>
      </c>
      <c r="Z94" s="5">
        <f t="shared" ref="Z94" si="216">Y94+1</f>
        <v>18</v>
      </c>
      <c r="AA94" s="5">
        <f t="shared" ref="AA94" si="217">Z94+1</f>
        <v>19</v>
      </c>
      <c r="AB94" s="5">
        <f t="shared" ref="AB94" si="218">AA94+1</f>
        <v>20</v>
      </c>
      <c r="AC94" s="8">
        <f t="shared" ref="AC94" si="219">AB94+1</f>
        <v>21</v>
      </c>
      <c r="AD94" s="8">
        <f t="shared" ref="AD94" si="220">AC94+1</f>
        <v>22</v>
      </c>
      <c r="AE94" s="5">
        <f t="shared" ref="AE94" si="221">AD94+1</f>
        <v>23</v>
      </c>
      <c r="AF94" s="5">
        <f>IFERROR(IF(AE94=31,"",AE94+1),"")</f>
        <v>24</v>
      </c>
      <c r="AG94" s="5">
        <f t="shared" ref="AG94" si="222">IFERROR(IF(AF94=31,"",AF94+1),"")</f>
        <v>25</v>
      </c>
      <c r="AH94" s="5">
        <f t="shared" ref="AH94" si="223">IFERROR(IF(AG94=31,"",AG94+1),"")</f>
        <v>26</v>
      </c>
      <c r="AI94" s="5">
        <f t="shared" ref="AI94" si="224">IFERROR(IF(AH94=31,"",AH94+1),"")</f>
        <v>27</v>
      </c>
      <c r="AJ94" s="8">
        <f t="shared" ref="AJ94" si="225">IFERROR(IF(AI94=31,"",AI94+1),"")</f>
        <v>28</v>
      </c>
      <c r="AK94" s="8">
        <f t="shared" ref="AK94" si="226">IFERROR(IF(AJ94=31,"",AJ94+1),"")</f>
        <v>29</v>
      </c>
      <c r="AL94" s="5">
        <f t="shared" ref="AL94" si="227">IFERROR(IF(AK94=31,"",AK94+1),"")</f>
        <v>30</v>
      </c>
      <c r="AM94" s="5">
        <f t="shared" ref="AM94" si="228">IFERROR(IF(AL94=31,"",AL94+1),"")</f>
        <v>31</v>
      </c>
    </row>
    <row r="95" spans="2:39" x14ac:dyDescent="0.15">
      <c r="B95" s="5" t="s">
        <v>29</v>
      </c>
      <c r="C95" s="5" t="s">
        <v>3</v>
      </c>
      <c r="D95" s="5" t="s">
        <v>22</v>
      </c>
      <c r="E95" s="5" t="s">
        <v>23</v>
      </c>
      <c r="F95" s="5" t="s">
        <v>24</v>
      </c>
      <c r="G95" s="5" t="s">
        <v>25</v>
      </c>
      <c r="H95" s="8" t="s">
        <v>27</v>
      </c>
      <c r="I95" s="8" t="s">
        <v>28</v>
      </c>
      <c r="J95" s="5" t="s">
        <v>2</v>
      </c>
      <c r="K95" s="5" t="s">
        <v>4</v>
      </c>
      <c r="L95" s="5" t="s">
        <v>5</v>
      </c>
      <c r="M95" s="5" t="s">
        <v>6</v>
      </c>
      <c r="N95" s="5" t="s">
        <v>7</v>
      </c>
      <c r="O95" s="8" t="s">
        <v>27</v>
      </c>
      <c r="P95" s="8" t="s">
        <v>28</v>
      </c>
      <c r="Q95" s="5" t="s">
        <v>2</v>
      </c>
      <c r="R95" s="5" t="s">
        <v>4</v>
      </c>
      <c r="S95" s="5" t="s">
        <v>5</v>
      </c>
      <c r="T95" s="5" t="s">
        <v>6</v>
      </c>
      <c r="U95" s="5" t="s">
        <v>7</v>
      </c>
      <c r="V95" s="8" t="s">
        <v>27</v>
      </c>
      <c r="W95" s="8" t="s">
        <v>28</v>
      </c>
      <c r="X95" s="5" t="s">
        <v>2</v>
      </c>
      <c r="Y95" s="5" t="s">
        <v>4</v>
      </c>
      <c r="Z95" s="5" t="s">
        <v>5</v>
      </c>
      <c r="AA95" s="5" t="s">
        <v>6</v>
      </c>
      <c r="AB95" s="5" t="s">
        <v>7</v>
      </c>
      <c r="AC95" s="8" t="s">
        <v>27</v>
      </c>
      <c r="AD95" s="8" t="s">
        <v>28</v>
      </c>
      <c r="AE95" s="5" t="s">
        <v>2</v>
      </c>
      <c r="AF95" s="5" t="s">
        <v>4</v>
      </c>
      <c r="AG95" s="5" t="s">
        <v>5</v>
      </c>
      <c r="AH95" s="5" t="s">
        <v>6</v>
      </c>
      <c r="AI95" s="5" t="s">
        <v>7</v>
      </c>
      <c r="AJ95" s="8" t="s">
        <v>27</v>
      </c>
      <c r="AK95" s="8" t="s">
        <v>28</v>
      </c>
      <c r="AL95" s="5" t="s">
        <v>2</v>
      </c>
      <c r="AM95" s="5" t="s">
        <v>4</v>
      </c>
    </row>
    <row r="96" spans="2:39" x14ac:dyDescent="0.15">
      <c r="B96" s="5">
        <v>1</v>
      </c>
      <c r="C96" s="16" t="str">
        <f>IF(C$94=1,"","")</f>
        <v/>
      </c>
      <c r="D96" s="16" t="str">
        <f t="shared" ref="D96:I96" si="229">IF(D$94=1,"","")</f>
        <v/>
      </c>
      <c r="E96" s="16" t="str">
        <f t="shared" si="229"/>
        <v/>
      </c>
      <c r="F96" s="16" t="str">
        <f t="shared" si="229"/>
        <v/>
      </c>
      <c r="G96" s="16" t="str">
        <f t="shared" si="229"/>
        <v/>
      </c>
      <c r="H96" s="18" t="str">
        <f t="shared" si="229"/>
        <v/>
      </c>
      <c r="I96" s="18" t="str">
        <f t="shared" si="229"/>
        <v/>
      </c>
      <c r="J96" s="16" t="str">
        <f>IF(J$94=2,"",IF(J$94=8,"成",IF(J$94=7,LEFT(基本設定!E4,1),"")))</f>
        <v/>
      </c>
      <c r="K96" s="16" t="str">
        <f>IF(K$94&lt;=6,"",LEFT(基本設定!F4,1))</f>
        <v/>
      </c>
      <c r="L96" s="16" t="str">
        <f>IF(L$94&lt;=6,"",LEFT(基本設定!G4,1))</f>
        <v/>
      </c>
      <c r="M96" s="16" t="str">
        <f>IF(M$94&lt;=6,"",LEFT(基本設定!H4,1))</f>
        <v/>
      </c>
      <c r="N96" s="16" t="str">
        <f>IF(N$94&lt;=6,"",LEFT(基本設定!I4,1))</f>
        <v/>
      </c>
      <c r="O96" s="18"/>
      <c r="P96" s="18"/>
      <c r="Q96" s="16" t="str">
        <f>IF(AND(Q$94&gt;=9,Q$94&lt;=14),"成",LEFT(基本設定!E4,1))</f>
        <v>成</v>
      </c>
      <c r="R96" s="16" t="str">
        <f>LEFT(基本設定!F4,1)</f>
        <v>−</v>
      </c>
      <c r="S96" s="16" t="str">
        <f>LEFT(基本設定!G4,1)</f>
        <v>−</v>
      </c>
      <c r="T96" s="16" t="str">
        <f>LEFT(基本設定!H4,1)</f>
        <v>−</v>
      </c>
      <c r="U96" s="16" t="str">
        <f>LEFT(基本設定!I4,1)</f>
        <v>−</v>
      </c>
      <c r="V96" s="18"/>
      <c r="W96" s="18"/>
      <c r="X96" s="16" t="str">
        <f>LEFT(基本設定!E4,1)</f>
        <v>−</v>
      </c>
      <c r="Y96" s="16" t="str">
        <f>LEFT(基本設定!F4,1)</f>
        <v>−</v>
      </c>
      <c r="Z96" s="16" t="str">
        <f>LEFT(基本設定!G4,1)</f>
        <v>−</v>
      </c>
      <c r="AA96" s="16" t="str">
        <f>LEFT(基本設定!H4,1)</f>
        <v>−</v>
      </c>
      <c r="AB96" s="16" t="str">
        <f>LEFT(基本設定!I4,1)</f>
        <v>−</v>
      </c>
      <c r="AC96" s="18"/>
      <c r="AD96" s="18"/>
      <c r="AE96" s="16" t="str">
        <f>LEFT(基本設定!E4,1)</f>
        <v>−</v>
      </c>
      <c r="AF96" s="16" t="str">
        <f>LEFT(基本設定!F4,1)</f>
        <v>−</v>
      </c>
      <c r="AG96" s="16" t="str">
        <f>IF(AG$94="","",LEFT(基本設定!G4,1))</f>
        <v>−</v>
      </c>
      <c r="AH96" s="16" t="str">
        <f>IF(AH$94="","",LEFT(基本設定!H4,1))</f>
        <v>−</v>
      </c>
      <c r="AI96" s="16" t="str">
        <f>IF(AI$94="","",LEFT(基本設定!I4,1))</f>
        <v>−</v>
      </c>
      <c r="AJ96" s="18"/>
      <c r="AK96" s="18"/>
      <c r="AL96" s="16" t="str">
        <f>IF(AL$94="","",LEFT(基本設定!E4,1))</f>
        <v>−</v>
      </c>
      <c r="AM96" s="16" t="str">
        <f>IF(AM$94="","",LEFT(基本設定!F4,1))</f>
        <v>−</v>
      </c>
    </row>
    <row r="97" spans="2:39" x14ac:dyDescent="0.15">
      <c r="B97" s="5">
        <v>2</v>
      </c>
      <c r="C97" s="16" t="str">
        <f>IF(C$94=1,"元","")</f>
        <v/>
      </c>
      <c r="D97" s="16" t="str">
        <f t="shared" ref="D97:I97" si="230">IF(D$94=1,"元","")</f>
        <v/>
      </c>
      <c r="E97" s="16" t="str">
        <f t="shared" si="230"/>
        <v/>
      </c>
      <c r="F97" s="16" t="str">
        <f t="shared" si="230"/>
        <v/>
      </c>
      <c r="G97" s="16" t="str">
        <f t="shared" si="230"/>
        <v/>
      </c>
      <c r="H97" s="18" t="str">
        <f t="shared" si="230"/>
        <v/>
      </c>
      <c r="I97" s="18" t="str">
        <f t="shared" si="230"/>
        <v>元</v>
      </c>
      <c r="J97" s="16" t="str">
        <f>IF(J$94=2,"休",IF(J$94=8,"人",IF(J$94=7,LEFT(基本設定!E5,1),"")))</f>
        <v>休</v>
      </c>
      <c r="K97" s="16" t="str">
        <f>IF(K$94&lt;=6,"",LEFT(基本設定!F5,1))</f>
        <v/>
      </c>
      <c r="L97" s="16" t="str">
        <f>IF(L$94&lt;=6,"",LEFT(基本設定!G5,1))</f>
        <v/>
      </c>
      <c r="M97" s="16" t="str">
        <f>IF(M$94&lt;=6,"",LEFT(基本設定!H5,1))</f>
        <v/>
      </c>
      <c r="N97" s="16" t="str">
        <f>IF(N$94&lt;=6,"",LEFT(基本設定!I5,1))</f>
        <v/>
      </c>
      <c r="O97" s="18"/>
      <c r="P97" s="18"/>
      <c r="Q97" s="16" t="str">
        <f>IF(AND(Q$94&gt;=9,Q$94&lt;=14),"人",LEFT(基本設定!E5,1))</f>
        <v>人</v>
      </c>
      <c r="R97" s="16" t="str">
        <f>LEFT(基本設定!F5,1)</f>
        <v>−</v>
      </c>
      <c r="S97" s="16" t="str">
        <f>LEFT(基本設定!G5,1)</f>
        <v>−</v>
      </c>
      <c r="T97" s="16" t="str">
        <f>LEFT(基本設定!H5,1)</f>
        <v>−</v>
      </c>
      <c r="U97" s="16" t="str">
        <f>LEFT(基本設定!I5,1)</f>
        <v>−</v>
      </c>
      <c r="V97" s="18"/>
      <c r="W97" s="18"/>
      <c r="X97" s="16" t="str">
        <f>LEFT(基本設定!E5,1)</f>
        <v>−</v>
      </c>
      <c r="Y97" s="16" t="str">
        <f>LEFT(基本設定!F5,1)</f>
        <v>−</v>
      </c>
      <c r="Z97" s="16" t="str">
        <f>LEFT(基本設定!G5,1)</f>
        <v>−</v>
      </c>
      <c r="AA97" s="16" t="str">
        <f>LEFT(基本設定!H5,1)</f>
        <v>−</v>
      </c>
      <c r="AB97" s="16" t="str">
        <f>LEFT(基本設定!I5,1)</f>
        <v>−</v>
      </c>
      <c r="AC97" s="18"/>
      <c r="AD97" s="18"/>
      <c r="AE97" s="16" t="str">
        <f>LEFT(基本設定!E5,1)</f>
        <v>−</v>
      </c>
      <c r="AF97" s="16" t="str">
        <f>LEFT(基本設定!F5,1)</f>
        <v>−</v>
      </c>
      <c r="AG97" s="16" t="str">
        <f>IF(AG$94="","",LEFT(基本設定!G5,1))</f>
        <v>−</v>
      </c>
      <c r="AH97" s="16" t="str">
        <f>IF(AH$94="","",LEFT(基本設定!H5,1))</f>
        <v>−</v>
      </c>
      <c r="AI97" s="16" t="str">
        <f>IF(AI$94="","",LEFT(基本設定!I5,1))</f>
        <v>−</v>
      </c>
      <c r="AJ97" s="18"/>
      <c r="AK97" s="18"/>
      <c r="AL97" s="16" t="str">
        <f>IF(AL$94="","",LEFT(基本設定!E5,1))</f>
        <v>−</v>
      </c>
      <c r="AM97" s="16" t="str">
        <f>IF(AM$94="","",LEFT(基本設定!F5,1))</f>
        <v>−</v>
      </c>
    </row>
    <row r="98" spans="2:39" x14ac:dyDescent="0.15">
      <c r="B98" s="5">
        <v>3</v>
      </c>
      <c r="C98" s="16" t="str">
        <f t="shared" ref="C98:I101" si="231">IF(C$94=1,"","")</f>
        <v/>
      </c>
      <c r="D98" s="16" t="str">
        <f t="shared" si="231"/>
        <v/>
      </c>
      <c r="E98" s="16" t="str">
        <f t="shared" si="231"/>
        <v/>
      </c>
      <c r="F98" s="16" t="str">
        <f t="shared" si="231"/>
        <v/>
      </c>
      <c r="G98" s="16" t="str">
        <f t="shared" si="231"/>
        <v/>
      </c>
      <c r="H98" s="18" t="str">
        <f t="shared" si="231"/>
        <v/>
      </c>
      <c r="I98" s="18" t="str">
        <f t="shared" si="231"/>
        <v/>
      </c>
      <c r="J98" s="16" t="str">
        <f>IF(J$94=2,"",IF(J$94=8,"の",IF(J$94=7,LEFT(基本設定!E6,1),"")))</f>
        <v/>
      </c>
      <c r="K98" s="16" t="str">
        <f>IF(K$94&lt;=6,"",LEFT(基本設定!F6,1))</f>
        <v/>
      </c>
      <c r="L98" s="16" t="str">
        <f>IF(L$94&lt;=6,"",LEFT(基本設定!G6,1))</f>
        <v/>
      </c>
      <c r="M98" s="16" t="str">
        <f>IF(M$94&lt;=6,"",LEFT(基本設定!H6,1))</f>
        <v/>
      </c>
      <c r="N98" s="16" t="str">
        <f>IF(N$94&lt;=6,"",LEFT(基本設定!I6,1))</f>
        <v/>
      </c>
      <c r="O98" s="18"/>
      <c r="P98" s="18"/>
      <c r="Q98" s="16" t="str">
        <f>IF(AND(Q$94&gt;=9,Q$94&lt;=14),"の",LEFT(基本設定!E6,1))</f>
        <v>の</v>
      </c>
      <c r="R98" s="16" t="str">
        <f>LEFT(基本設定!F6,1)</f>
        <v>−</v>
      </c>
      <c r="S98" s="16" t="str">
        <f>LEFT(基本設定!G6,1)</f>
        <v>−</v>
      </c>
      <c r="T98" s="16" t="str">
        <f>LEFT(基本設定!H6,1)</f>
        <v>−</v>
      </c>
      <c r="U98" s="16" t="str">
        <f>LEFT(基本設定!I6,1)</f>
        <v>−</v>
      </c>
      <c r="V98" s="18"/>
      <c r="W98" s="18"/>
      <c r="X98" s="16" t="str">
        <f>LEFT(基本設定!E6,1)</f>
        <v>−</v>
      </c>
      <c r="Y98" s="16" t="str">
        <f>LEFT(基本設定!F6,1)</f>
        <v>−</v>
      </c>
      <c r="Z98" s="16" t="str">
        <f>LEFT(基本設定!G6,1)</f>
        <v>−</v>
      </c>
      <c r="AA98" s="16" t="str">
        <f>LEFT(基本設定!H6,1)</f>
        <v>−</v>
      </c>
      <c r="AB98" s="16" t="str">
        <f>LEFT(基本設定!I6,1)</f>
        <v>−</v>
      </c>
      <c r="AC98" s="18"/>
      <c r="AD98" s="18"/>
      <c r="AE98" s="16" t="str">
        <f>LEFT(基本設定!E6,1)</f>
        <v>−</v>
      </c>
      <c r="AF98" s="16" t="str">
        <f>LEFT(基本設定!F6,1)</f>
        <v>−</v>
      </c>
      <c r="AG98" s="16" t="str">
        <f>IF(AG$94="","",LEFT(基本設定!G6,1))</f>
        <v>−</v>
      </c>
      <c r="AH98" s="16" t="str">
        <f>IF(AH$94="","",LEFT(基本設定!H6,1))</f>
        <v>−</v>
      </c>
      <c r="AI98" s="16" t="str">
        <f>IF(AI$94="","",LEFT(基本設定!I6,1))</f>
        <v>−</v>
      </c>
      <c r="AJ98" s="18"/>
      <c r="AK98" s="18"/>
      <c r="AL98" s="16" t="str">
        <f>IF(AL$94="","",LEFT(基本設定!E6,1))</f>
        <v>−</v>
      </c>
      <c r="AM98" s="16" t="str">
        <f>IF(AM$94="","",LEFT(基本設定!F6,1))</f>
        <v>−</v>
      </c>
    </row>
    <row r="99" spans="2:39" x14ac:dyDescent="0.15">
      <c r="B99" s="5">
        <v>4</v>
      </c>
      <c r="C99" s="16" t="str">
        <f>IF(C$94=1,"日","")</f>
        <v/>
      </c>
      <c r="D99" s="16" t="str">
        <f t="shared" ref="D99:I99" si="232">IF(D$94=1,"日","")</f>
        <v/>
      </c>
      <c r="E99" s="16" t="str">
        <f t="shared" si="232"/>
        <v/>
      </c>
      <c r="F99" s="16" t="str">
        <f t="shared" si="232"/>
        <v/>
      </c>
      <c r="G99" s="16" t="str">
        <f t="shared" si="232"/>
        <v/>
      </c>
      <c r="H99" s="18" t="str">
        <f t="shared" si="232"/>
        <v/>
      </c>
      <c r="I99" s="18" t="str">
        <f t="shared" si="232"/>
        <v>日</v>
      </c>
      <c r="J99" s="16" t="str">
        <f>IF(J$94=2,"日",IF(J$94=8,"日",IF(J$94=7,LEFT(基本設定!E7,1),"")))</f>
        <v>日</v>
      </c>
      <c r="K99" s="16" t="str">
        <f>IF(K$94&lt;=6,"",LEFT(基本設定!F7,1))</f>
        <v/>
      </c>
      <c r="L99" s="16" t="str">
        <f>IF(L$94&lt;=6,"",LEFT(基本設定!G7,1))</f>
        <v/>
      </c>
      <c r="M99" s="16" t="str">
        <f>IF(M$94&lt;=6,"",LEFT(基本設定!H7,1))</f>
        <v/>
      </c>
      <c r="N99" s="16" t="str">
        <f>IF(N$94&lt;=6,"",LEFT(基本設定!I7,1))</f>
        <v/>
      </c>
      <c r="O99" s="18"/>
      <c r="P99" s="18"/>
      <c r="Q99" s="16" t="str">
        <f>IF(AND(Q$94&gt;=9,Q$94&lt;=14),"日",LEFT(基本設定!E7,1))</f>
        <v>日</v>
      </c>
      <c r="R99" s="16" t="str">
        <f>LEFT(基本設定!F7,1)</f>
        <v>−</v>
      </c>
      <c r="S99" s="16" t="str">
        <f>LEFT(基本設定!G7,1)</f>
        <v>−</v>
      </c>
      <c r="T99" s="16" t="str">
        <f>LEFT(基本設定!H7,1)</f>
        <v>−</v>
      </c>
      <c r="U99" s="16" t="str">
        <f>LEFT(基本設定!I7,1)</f>
        <v>−</v>
      </c>
      <c r="V99" s="18"/>
      <c r="W99" s="18"/>
      <c r="X99" s="16" t="str">
        <f>LEFT(基本設定!E7,1)</f>
        <v>−</v>
      </c>
      <c r="Y99" s="16" t="str">
        <f>LEFT(基本設定!F7,1)</f>
        <v>−</v>
      </c>
      <c r="Z99" s="16" t="str">
        <f>LEFT(基本設定!G7,1)</f>
        <v>−</v>
      </c>
      <c r="AA99" s="16" t="str">
        <f>LEFT(基本設定!H7,1)</f>
        <v>−</v>
      </c>
      <c r="AB99" s="16" t="str">
        <f>LEFT(基本設定!I7,1)</f>
        <v>−</v>
      </c>
      <c r="AC99" s="18"/>
      <c r="AD99" s="18"/>
      <c r="AE99" s="16" t="str">
        <f>LEFT(基本設定!E7,1)</f>
        <v>−</v>
      </c>
      <c r="AF99" s="16" t="str">
        <f>LEFT(基本設定!F7,1)</f>
        <v>−</v>
      </c>
      <c r="AG99" s="16" t="str">
        <f>IF(AG$94="","",LEFT(基本設定!G7,1))</f>
        <v>−</v>
      </c>
      <c r="AH99" s="16" t="str">
        <f>IF(AH$94="","",LEFT(基本設定!H7,1))</f>
        <v>−</v>
      </c>
      <c r="AI99" s="16" t="str">
        <f>IF(AI$94="","",LEFT(基本設定!I7,1))</f>
        <v>−</v>
      </c>
      <c r="AJ99" s="18"/>
      <c r="AK99" s="18"/>
      <c r="AL99" s="16" t="str">
        <f>IF(AL$94="","",LEFT(基本設定!E7,1))</f>
        <v>−</v>
      </c>
      <c r="AM99" s="16" t="str">
        <f>IF(AM$94="","",LEFT(基本設定!F7,1))</f>
        <v>−</v>
      </c>
    </row>
    <row r="100" spans="2:39" x14ac:dyDescent="0.15">
      <c r="B100" s="5">
        <v>5</v>
      </c>
      <c r="C100" s="16" t="str">
        <f t="shared" si="231"/>
        <v/>
      </c>
      <c r="D100" s="16" t="str">
        <f t="shared" si="231"/>
        <v/>
      </c>
      <c r="E100" s="16" t="str">
        <f t="shared" si="231"/>
        <v/>
      </c>
      <c r="F100" s="16" t="str">
        <f t="shared" si="231"/>
        <v/>
      </c>
      <c r="G100" s="16" t="str">
        <f t="shared" si="231"/>
        <v/>
      </c>
      <c r="H100" s="18" t="str">
        <f t="shared" si="231"/>
        <v/>
      </c>
      <c r="I100" s="18" t="str">
        <f t="shared" si="231"/>
        <v/>
      </c>
      <c r="J100" s="16" t="str">
        <f>IF(J$94=2,"",IF(J$94=8,"",IF(J$94=7,LEFT(基本設定!E8,1),"")))</f>
        <v/>
      </c>
      <c r="K100" s="16" t="str">
        <f>IF(K$94&lt;=6,"",LEFT(基本設定!F8,1))</f>
        <v/>
      </c>
      <c r="L100" s="16" t="str">
        <f>IF(L$94&lt;=6,"",LEFT(基本設定!G8,1))</f>
        <v/>
      </c>
      <c r="M100" s="16" t="str">
        <f>IF(M$94&lt;=6,"",LEFT(基本設定!H8,1))</f>
        <v/>
      </c>
      <c r="N100" s="16" t="str">
        <f>IF(N$94&lt;=6,"",LEFT(基本設定!I8,1))</f>
        <v/>
      </c>
      <c r="O100" s="18"/>
      <c r="P100" s="18"/>
      <c r="Q100" s="16" t="str">
        <f>IF(AND(Q$94&gt;=9,Q$94&lt;=14),"",LEFT(基本設定!E8,1))</f>
        <v/>
      </c>
      <c r="R100" s="16" t="str">
        <f>LEFT(基本設定!F8,1)</f>
        <v>−</v>
      </c>
      <c r="S100" s="16" t="str">
        <f>LEFT(基本設定!G8,1)</f>
        <v>−</v>
      </c>
      <c r="T100" s="16" t="str">
        <f>LEFT(基本設定!H8,1)</f>
        <v>−</v>
      </c>
      <c r="U100" s="16" t="str">
        <f>LEFT(基本設定!I8,1)</f>
        <v>−</v>
      </c>
      <c r="V100" s="18"/>
      <c r="W100" s="18"/>
      <c r="X100" s="16" t="str">
        <f>LEFT(基本設定!E8,1)</f>
        <v>−</v>
      </c>
      <c r="Y100" s="16" t="str">
        <f>LEFT(基本設定!F8,1)</f>
        <v>−</v>
      </c>
      <c r="Z100" s="16" t="str">
        <f>LEFT(基本設定!G8,1)</f>
        <v>−</v>
      </c>
      <c r="AA100" s="16" t="str">
        <f>LEFT(基本設定!H8,1)</f>
        <v>−</v>
      </c>
      <c r="AB100" s="16" t="str">
        <f>LEFT(基本設定!I8,1)</f>
        <v>−</v>
      </c>
      <c r="AC100" s="18"/>
      <c r="AD100" s="18"/>
      <c r="AE100" s="16" t="str">
        <f>LEFT(基本設定!E8,1)</f>
        <v>−</v>
      </c>
      <c r="AF100" s="16" t="str">
        <f>LEFT(基本設定!F8,1)</f>
        <v>−</v>
      </c>
      <c r="AG100" s="16" t="str">
        <f>IF(AG$94="","",LEFT(基本設定!G8,1))</f>
        <v>−</v>
      </c>
      <c r="AH100" s="16" t="str">
        <f>IF(AH$94="","",LEFT(基本設定!H8,1))</f>
        <v>−</v>
      </c>
      <c r="AI100" s="16" t="str">
        <f>IF(AI$94="","",LEFT(基本設定!I8,1))</f>
        <v>−</v>
      </c>
      <c r="AJ100" s="18"/>
      <c r="AK100" s="18"/>
      <c r="AL100" s="16" t="str">
        <f>IF(AL$94="","",LEFT(基本設定!E8,1))</f>
        <v>−</v>
      </c>
      <c r="AM100" s="16" t="str">
        <f>IF(AM$94="","",LEFT(基本設定!F8,1))</f>
        <v>−</v>
      </c>
    </row>
    <row r="101" spans="2:39" x14ac:dyDescent="0.15">
      <c r="B101" s="5">
        <v>6</v>
      </c>
      <c r="C101" s="16" t="str">
        <f t="shared" si="231"/>
        <v/>
      </c>
      <c r="D101" s="16" t="str">
        <f t="shared" si="231"/>
        <v/>
      </c>
      <c r="E101" s="16" t="str">
        <f t="shared" si="231"/>
        <v/>
      </c>
      <c r="F101" s="16" t="str">
        <f t="shared" si="231"/>
        <v/>
      </c>
      <c r="G101" s="16" t="str">
        <f t="shared" si="231"/>
        <v/>
      </c>
      <c r="H101" s="18" t="str">
        <f t="shared" si="231"/>
        <v/>
      </c>
      <c r="I101" s="18" t="str">
        <f t="shared" si="231"/>
        <v/>
      </c>
      <c r="J101" s="16" t="str">
        <f>IF(J$94=2,"",IF(J$94=8,"",IF(J$94=7,LEFT(基本設定!E9,1),"")))</f>
        <v/>
      </c>
      <c r="K101" s="16" t="str">
        <f>IF(K$94&lt;=6,"",LEFT(基本設定!F9,1))</f>
        <v/>
      </c>
      <c r="L101" s="16" t="str">
        <f>IF(L$94&lt;=6,"",LEFT(基本設定!G9,1))</f>
        <v/>
      </c>
      <c r="M101" s="16" t="str">
        <f>IF(M$94&lt;=6,"",LEFT(基本設定!H9,1))</f>
        <v/>
      </c>
      <c r="N101" s="16" t="str">
        <f>IF(N$94&lt;=6,"",LEFT(基本設定!I9,1))</f>
        <v/>
      </c>
      <c r="O101" s="18"/>
      <c r="P101" s="18"/>
      <c r="Q101" s="16" t="str">
        <f>IF(AND(Q$94&gt;=9,Q$94&lt;=14),"",LEFT(基本設定!E9,1))</f>
        <v/>
      </c>
      <c r="R101" s="16" t="str">
        <f>LEFT(基本設定!F9,1)</f>
        <v>−</v>
      </c>
      <c r="S101" s="16" t="str">
        <f>LEFT(基本設定!G9,1)</f>
        <v>−</v>
      </c>
      <c r="T101" s="16" t="str">
        <f>LEFT(基本設定!H9,1)</f>
        <v>−</v>
      </c>
      <c r="U101" s="16" t="str">
        <f>LEFT(基本設定!I9,1)</f>
        <v>−</v>
      </c>
      <c r="V101" s="18"/>
      <c r="W101" s="18"/>
      <c r="X101" s="16" t="str">
        <f>LEFT(基本設定!E9,1)</f>
        <v>−</v>
      </c>
      <c r="Y101" s="16" t="str">
        <f>LEFT(基本設定!F9,1)</f>
        <v>−</v>
      </c>
      <c r="Z101" s="16" t="str">
        <f>LEFT(基本設定!G9,1)</f>
        <v>−</v>
      </c>
      <c r="AA101" s="16" t="str">
        <f>LEFT(基本設定!H9,1)</f>
        <v>−</v>
      </c>
      <c r="AB101" s="16" t="str">
        <f>LEFT(基本設定!I9,1)</f>
        <v>−</v>
      </c>
      <c r="AC101" s="18"/>
      <c r="AD101" s="18"/>
      <c r="AE101" s="16" t="str">
        <f>LEFT(基本設定!E9,1)</f>
        <v>−</v>
      </c>
      <c r="AF101" s="16" t="str">
        <f>LEFT(基本設定!F9,1)</f>
        <v>−</v>
      </c>
      <c r="AG101" s="16" t="str">
        <f>IF(AG$94="","",LEFT(基本設定!G9,1))</f>
        <v>−</v>
      </c>
      <c r="AH101" s="16" t="str">
        <f>IF(AH$94="","",LEFT(基本設定!H9,1))</f>
        <v>−</v>
      </c>
      <c r="AI101" s="16" t="str">
        <f>IF(AI$94="","",LEFT(基本設定!I9,1))</f>
        <v>−</v>
      </c>
      <c r="AJ101" s="18"/>
      <c r="AK101" s="18"/>
      <c r="AL101" s="16" t="str">
        <f>IF(AL$94="","",LEFT(基本設定!E9,1))</f>
        <v>−</v>
      </c>
      <c r="AM101" s="16" t="str">
        <f>IF(AM$94="","",LEFT(基本設定!F9,1))</f>
        <v>−</v>
      </c>
    </row>
    <row r="103" spans="2:39" x14ac:dyDescent="0.15">
      <c r="B103" s="13">
        <v>2</v>
      </c>
      <c r="C103" s="14" t="s">
        <v>26</v>
      </c>
    </row>
    <row r="104" spans="2:39" x14ac:dyDescent="0.15">
      <c r="B104" s="5"/>
      <c r="C104" s="5" t="str">
        <f>IF(WEEKDAY(DATE($C$1+1989,$B$103,1),2)=1,1,"")</f>
        <v/>
      </c>
      <c r="D104" s="5" t="str">
        <f>IF(C104="",IF(WEEKDAY(DATE($C$1+1989,$B$103,1),2)=2,1,""),C104+1)</f>
        <v/>
      </c>
      <c r="E104" s="5">
        <f>IF(D104="",IF(WEEKDAY(DATE($C$1+1989,$B$103,1),2)=3,1,""),D104+1)</f>
        <v>1</v>
      </c>
      <c r="F104" s="5">
        <f>IF(E104="",IF(WEEKDAY(DATE($C$1+1989,$B$103,1),2)=4,1,""),E104+1)</f>
        <v>2</v>
      </c>
      <c r="G104" s="5">
        <f>IF(F104="",IF(WEEKDAY(DATE($C$1+1989,$B$103,1),2)=5,1,""),F104+1)</f>
        <v>3</v>
      </c>
      <c r="H104" s="8">
        <f>IF(G104="",IF(WEEKDAY(DATE($C$1+1989,$B$103,1),2)=6,1,""),G104+1)</f>
        <v>4</v>
      </c>
      <c r="I104" s="8">
        <f>IF(H104="",IF(WEEKDAY(DATE($C$1+1989,$B$103,1),2)=7,1,""),H104+1)</f>
        <v>5</v>
      </c>
      <c r="J104" s="5">
        <f>I104+1</f>
        <v>6</v>
      </c>
      <c r="K104" s="5">
        <f t="shared" ref="K104" si="233">J104+1</f>
        <v>7</v>
      </c>
      <c r="L104" s="5">
        <f t="shared" ref="L104" si="234">K104+1</f>
        <v>8</v>
      </c>
      <c r="M104" s="5">
        <f t="shared" ref="M104" si="235">L104+1</f>
        <v>9</v>
      </c>
      <c r="N104" s="5">
        <f t="shared" ref="N104" si="236">M104+1</f>
        <v>10</v>
      </c>
      <c r="O104" s="8">
        <f t="shared" ref="O104" si="237">N104+1</f>
        <v>11</v>
      </c>
      <c r="P104" s="8">
        <f t="shared" ref="P104" si="238">O104+1</f>
        <v>12</v>
      </c>
      <c r="Q104" s="5">
        <f t="shared" ref="Q104" si="239">P104+1</f>
        <v>13</v>
      </c>
      <c r="R104" s="5">
        <f t="shared" ref="R104" si="240">Q104+1</f>
        <v>14</v>
      </c>
      <c r="S104" s="5">
        <f t="shared" ref="S104" si="241">R104+1</f>
        <v>15</v>
      </c>
      <c r="T104" s="5">
        <f t="shared" ref="T104" si="242">S104+1</f>
        <v>16</v>
      </c>
      <c r="U104" s="5">
        <f t="shared" ref="U104" si="243">T104+1</f>
        <v>17</v>
      </c>
      <c r="V104" s="8">
        <f t="shared" ref="V104" si="244">U104+1</f>
        <v>18</v>
      </c>
      <c r="W104" s="8">
        <f t="shared" ref="W104" si="245">V104+1</f>
        <v>19</v>
      </c>
      <c r="X104" s="5">
        <f t="shared" ref="X104" si="246">W104+1</f>
        <v>20</v>
      </c>
      <c r="Y104" s="5">
        <f t="shared" ref="Y104" si="247">X104+1</f>
        <v>21</v>
      </c>
      <c r="Z104" s="5">
        <f t="shared" ref="Z104" si="248">Y104+1</f>
        <v>22</v>
      </c>
      <c r="AA104" s="5">
        <f t="shared" ref="AA104" si="249">Z104+1</f>
        <v>23</v>
      </c>
      <c r="AB104" s="5">
        <f t="shared" ref="AB104" si="250">AA104+1</f>
        <v>24</v>
      </c>
      <c r="AC104" s="8">
        <f t="shared" ref="AC104" si="251">AB104+1</f>
        <v>25</v>
      </c>
      <c r="AD104" s="8">
        <f>IFERROR(IF(MOD($C$1+1989,4)=0,IF(AC104=29,"",AC104+1),IF(AC104=28,"",AC104+1)),"")</f>
        <v>26</v>
      </c>
      <c r="AE104" s="5">
        <f t="shared" ref="AE104:AK104" si="252">IFERROR(IF(MOD($C$1+1989,4)=0,IF(AD104=29,"",AD104+1),IF(AD104=28,"",AD104+1)),"")</f>
        <v>27</v>
      </c>
      <c r="AF104" s="5">
        <f t="shared" si="252"/>
        <v>28</v>
      </c>
      <c r="AG104" s="5" t="str">
        <f t="shared" si="252"/>
        <v/>
      </c>
      <c r="AH104" s="5" t="str">
        <f t="shared" si="252"/>
        <v/>
      </c>
      <c r="AI104" s="5" t="str">
        <f t="shared" si="252"/>
        <v/>
      </c>
      <c r="AJ104" s="5" t="str">
        <f t="shared" si="252"/>
        <v/>
      </c>
      <c r="AK104" s="5" t="str">
        <f t="shared" si="252"/>
        <v/>
      </c>
    </row>
    <row r="105" spans="2:39" x14ac:dyDescent="0.15">
      <c r="B105" s="5" t="s">
        <v>29</v>
      </c>
      <c r="C105" s="5" t="s">
        <v>3</v>
      </c>
      <c r="D105" s="5" t="s">
        <v>22</v>
      </c>
      <c r="E105" s="5" t="s">
        <v>23</v>
      </c>
      <c r="F105" s="5" t="s">
        <v>24</v>
      </c>
      <c r="G105" s="5" t="s">
        <v>25</v>
      </c>
      <c r="H105" s="8" t="s">
        <v>27</v>
      </c>
      <c r="I105" s="8" t="s">
        <v>28</v>
      </c>
      <c r="J105" s="5" t="s">
        <v>2</v>
      </c>
      <c r="K105" s="5" t="s">
        <v>4</v>
      </c>
      <c r="L105" s="5" t="s">
        <v>5</v>
      </c>
      <c r="M105" s="5" t="s">
        <v>6</v>
      </c>
      <c r="N105" s="5" t="s">
        <v>7</v>
      </c>
      <c r="O105" s="8" t="s">
        <v>27</v>
      </c>
      <c r="P105" s="8" t="s">
        <v>28</v>
      </c>
      <c r="Q105" s="5" t="s">
        <v>2</v>
      </c>
      <c r="R105" s="5" t="s">
        <v>4</v>
      </c>
      <c r="S105" s="5" t="s">
        <v>5</v>
      </c>
      <c r="T105" s="5" t="s">
        <v>6</v>
      </c>
      <c r="U105" s="5" t="s">
        <v>7</v>
      </c>
      <c r="V105" s="8" t="s">
        <v>27</v>
      </c>
      <c r="W105" s="8" t="s">
        <v>28</v>
      </c>
      <c r="X105" s="5" t="s">
        <v>2</v>
      </c>
      <c r="Y105" s="5" t="s">
        <v>4</v>
      </c>
      <c r="Z105" s="5" t="s">
        <v>5</v>
      </c>
      <c r="AA105" s="5" t="s">
        <v>6</v>
      </c>
      <c r="AB105" s="5" t="s">
        <v>7</v>
      </c>
      <c r="AC105" s="8" t="s">
        <v>27</v>
      </c>
      <c r="AD105" s="8" t="s">
        <v>28</v>
      </c>
      <c r="AE105" s="5" t="s">
        <v>2</v>
      </c>
      <c r="AF105" s="5" t="s">
        <v>4</v>
      </c>
      <c r="AG105" s="5" t="s">
        <v>5</v>
      </c>
      <c r="AH105" s="5" t="s">
        <v>6</v>
      </c>
      <c r="AI105" s="5" t="s">
        <v>7</v>
      </c>
      <c r="AJ105" s="5" t="s">
        <v>27</v>
      </c>
      <c r="AK105" s="5" t="s">
        <v>28</v>
      </c>
    </row>
    <row r="106" spans="2:39" x14ac:dyDescent="0.15">
      <c r="B106" s="5">
        <v>1</v>
      </c>
      <c r="C106" s="16" t="str">
        <f>IF(C$104="","",LEFT(基本設定!E4,1))</f>
        <v/>
      </c>
      <c r="D106" s="16" t="str">
        <f>IF(D$104="","",LEFT(基本設定!F4,1))</f>
        <v/>
      </c>
      <c r="E106" s="16" t="str">
        <f>IF(E$104="","",LEFT(基本設定!G4,1))</f>
        <v>−</v>
      </c>
      <c r="F106" s="16" t="str">
        <f>IF(F$104="","",LEFT(基本設定!H4,1))</f>
        <v>−</v>
      </c>
      <c r="G106" s="16" t="str">
        <f>IF(G$104="","",LEFT(基本設定!I4,1))</f>
        <v>−</v>
      </c>
      <c r="H106" s="18"/>
      <c r="I106" s="18"/>
      <c r="J106" s="16" t="str">
        <f>LEFT(基本設定!E4,1)</f>
        <v>−</v>
      </c>
      <c r="K106" s="16" t="str">
        <f>LEFT(基本設定!F4,1)</f>
        <v>−</v>
      </c>
      <c r="L106" s="16" t="str">
        <f>LEFT(基本設定!G4,1)</f>
        <v>−</v>
      </c>
      <c r="M106" s="16" t="str">
        <f>IF(M$104=11,"建",LEFT(基本設定!H4,1))</f>
        <v>−</v>
      </c>
      <c r="N106" s="16" t="str">
        <f>IF(N$104=11,"建",LEFT(基本設定!I4,1))</f>
        <v>−</v>
      </c>
      <c r="O106" s="18" t="str">
        <f>IF(O$104=11,"建","")</f>
        <v>建</v>
      </c>
      <c r="P106" s="18" t="str">
        <f>IF(P$104=11,"建","")</f>
        <v/>
      </c>
      <c r="Q106" s="16" t="str">
        <f>IF(Q$104=12,"",IF(Q$104=11,"建",LEFT(基本設定!E4,1)))</f>
        <v>−</v>
      </c>
      <c r="R106" s="16" t="str">
        <f>IF(R$104=11,"建",LEFT(基本設定!F4,1))</f>
        <v>−</v>
      </c>
      <c r="S106" s="16" t="str">
        <f>IF(S$104=11,"建",LEFT(基本設定!G4,1))</f>
        <v>−</v>
      </c>
      <c r="T106" s="16" t="str">
        <f>LEFT(基本設定!H4,1)</f>
        <v>−</v>
      </c>
      <c r="U106" s="16" t="str">
        <f>LEFT(基本設定!I4,1)</f>
        <v>−</v>
      </c>
      <c r="V106" s="18"/>
      <c r="W106" s="18"/>
      <c r="X106" s="16" t="str">
        <f>LEFT(基本設定!E4,1)</f>
        <v>−</v>
      </c>
      <c r="Y106" s="16" t="str">
        <f>LEFT(基本設定!F4,1)</f>
        <v>−</v>
      </c>
      <c r="Z106" s="16" t="str">
        <f>LEFT(基本設定!G4,1)</f>
        <v>−</v>
      </c>
      <c r="AA106" s="16" t="str">
        <f>LEFT(基本設定!H4,1)</f>
        <v>−</v>
      </c>
      <c r="AB106" s="16" t="str">
        <f>LEFT(基本設定!I4,1)</f>
        <v>−</v>
      </c>
      <c r="AC106" s="18"/>
      <c r="AD106" s="18"/>
      <c r="AE106" s="16" t="str">
        <f>IF(AE$104="","",LEFT(基本設定!E4,1))</f>
        <v>−</v>
      </c>
      <c r="AF106" s="16" t="str">
        <f>IF(AF$104="","",LEFT(基本設定!F4,1))</f>
        <v>−</v>
      </c>
      <c r="AG106" s="16" t="str">
        <f>IF(AG$104="","",LEFT(基本設定!G4,1))</f>
        <v/>
      </c>
      <c r="AH106" s="16" t="str">
        <f>IF(AH$104="","",LEFT(基本設定!H4,1))</f>
        <v/>
      </c>
      <c r="AI106" s="16" t="str">
        <f>IF(AI$104="","",LEFT(基本設定!I4,1))</f>
        <v/>
      </c>
      <c r="AJ106" s="18"/>
      <c r="AK106" s="18"/>
    </row>
    <row r="107" spans="2:39" x14ac:dyDescent="0.15">
      <c r="B107" s="5">
        <v>2</v>
      </c>
      <c r="C107" s="16" t="str">
        <f>IF(C$104="","",LEFT(基本設定!E5,1))</f>
        <v/>
      </c>
      <c r="D107" s="16" t="str">
        <f>IF(D$104="","",LEFT(基本設定!F5,1))</f>
        <v/>
      </c>
      <c r="E107" s="16" t="str">
        <f>IF(E$104="","",LEFT(基本設定!G5,1))</f>
        <v>−</v>
      </c>
      <c r="F107" s="16" t="str">
        <f>IF(F$104="","",LEFT(基本設定!H5,1))</f>
        <v>−</v>
      </c>
      <c r="G107" s="16" t="str">
        <f>IF(G$104="","",LEFT(基本設定!I5,1))</f>
        <v>−</v>
      </c>
      <c r="H107" s="18"/>
      <c r="I107" s="18"/>
      <c r="J107" s="16" t="str">
        <f>LEFT(基本設定!E5,1)</f>
        <v>−</v>
      </c>
      <c r="K107" s="16" t="str">
        <f>LEFT(基本設定!F5,1)</f>
        <v>−</v>
      </c>
      <c r="L107" s="16" t="str">
        <f>LEFT(基本設定!G5,1)</f>
        <v>−</v>
      </c>
      <c r="M107" s="16" t="str">
        <f>IF(M$104=11," 国 ",LEFT(基本設定!H5,1))</f>
        <v>−</v>
      </c>
      <c r="N107" s="16" t="str">
        <f>IF(N$104=11," 国 ",LEFT(基本設定!I5,1))</f>
        <v>−</v>
      </c>
      <c r="O107" s="18" t="str">
        <f>IF(O$104=11," 国 ","")</f>
        <v xml:space="preserve"> 国 </v>
      </c>
      <c r="P107" s="18" t="str">
        <f>IF(P$104=11," 国 ","")</f>
        <v/>
      </c>
      <c r="Q107" s="16" t="str">
        <f>IF(Q$104=12,"休",IF(Q$104=11," 国 ",LEFT(基本設定!E5,1)))</f>
        <v>−</v>
      </c>
      <c r="R107" s="16" t="str">
        <f>IF(R$104=11," 国 ",LEFT(基本設定!F5,1))</f>
        <v>−</v>
      </c>
      <c r="S107" s="16" t="str">
        <f>IF(S$104=11," 国 ",LEFT(基本設定!G5,1))</f>
        <v>−</v>
      </c>
      <c r="T107" s="16" t="str">
        <f>LEFT(基本設定!H5,1)</f>
        <v>−</v>
      </c>
      <c r="U107" s="16" t="str">
        <f>LEFT(基本設定!I5,1)</f>
        <v>−</v>
      </c>
      <c r="V107" s="18"/>
      <c r="W107" s="18"/>
      <c r="X107" s="16" t="str">
        <f>LEFT(基本設定!E5,1)</f>
        <v>−</v>
      </c>
      <c r="Y107" s="16" t="str">
        <f>LEFT(基本設定!F5,1)</f>
        <v>−</v>
      </c>
      <c r="Z107" s="16" t="str">
        <f>LEFT(基本設定!G5,1)</f>
        <v>−</v>
      </c>
      <c r="AA107" s="16" t="str">
        <f>LEFT(基本設定!H5,1)</f>
        <v>−</v>
      </c>
      <c r="AB107" s="16" t="str">
        <f>LEFT(基本設定!I5,1)</f>
        <v>−</v>
      </c>
      <c r="AC107" s="18"/>
      <c r="AD107" s="18"/>
      <c r="AE107" s="16" t="str">
        <f>IF(AE$104="","",LEFT(基本設定!E5,1))</f>
        <v>−</v>
      </c>
      <c r="AF107" s="16" t="str">
        <f>IF(AF$104="","",LEFT(基本設定!F5,1))</f>
        <v>−</v>
      </c>
      <c r="AG107" s="16" t="str">
        <f>IF(AG$104="","",LEFT(基本設定!G5,1))</f>
        <v/>
      </c>
      <c r="AH107" s="16" t="str">
        <f>IF(AH$104="","",LEFT(基本設定!H5,1))</f>
        <v/>
      </c>
      <c r="AI107" s="16" t="str">
        <f>IF(AI$104="","",LEFT(基本設定!I5,1))</f>
        <v/>
      </c>
      <c r="AJ107" s="18"/>
      <c r="AK107" s="18"/>
    </row>
    <row r="108" spans="2:39" x14ac:dyDescent="0.15">
      <c r="B108" s="5">
        <v>3</v>
      </c>
      <c r="C108" s="16" t="str">
        <f>IF(C$104="","",LEFT(基本設定!E6,1))</f>
        <v/>
      </c>
      <c r="D108" s="16" t="str">
        <f>IF(D$104="","",LEFT(基本設定!F6,1))</f>
        <v/>
      </c>
      <c r="E108" s="16" t="str">
        <f>IF(E$104="","",LEFT(基本設定!G6,1))</f>
        <v>−</v>
      </c>
      <c r="F108" s="16" t="str">
        <f>IF(F$104="","",LEFT(基本設定!H6,1))</f>
        <v>−</v>
      </c>
      <c r="G108" s="16" t="str">
        <f>IF(G$104="","",LEFT(基本設定!I6,1))</f>
        <v>−</v>
      </c>
      <c r="H108" s="18"/>
      <c r="I108" s="18"/>
      <c r="J108" s="16" t="str">
        <f>LEFT(基本設定!E6,1)</f>
        <v>−</v>
      </c>
      <c r="K108" s="16" t="str">
        <f>LEFT(基本設定!F6,1)</f>
        <v>−</v>
      </c>
      <c r="L108" s="16" t="str">
        <f>LEFT(基本設定!G6,1)</f>
        <v>−</v>
      </c>
      <c r="M108" s="16" t="str">
        <f>IF(M$104=11,"記",LEFT(基本設定!H6,1))</f>
        <v>−</v>
      </c>
      <c r="N108" s="16" t="str">
        <f>IF(N$104=11,"記",LEFT(基本設定!I6,1))</f>
        <v>−</v>
      </c>
      <c r="O108" s="18" t="str">
        <f>IF(O$104=11,"記","")</f>
        <v>記</v>
      </c>
      <c r="P108" s="18" t="str">
        <f>IF(P$104=11,"記","")</f>
        <v/>
      </c>
      <c r="Q108" s="16" t="str">
        <f>IF(Q$104=12,"",IF(Q$104=11,"記",LEFT(基本設定!E6,1)))</f>
        <v>−</v>
      </c>
      <c r="R108" s="16" t="str">
        <f>IF(R$104=11,"記",LEFT(基本設定!F6,1))</f>
        <v>−</v>
      </c>
      <c r="S108" s="16" t="str">
        <f>IF(S$104=11,"記",LEFT(基本設定!G6,1))</f>
        <v>−</v>
      </c>
      <c r="T108" s="16" t="str">
        <f>LEFT(基本設定!H6,1)</f>
        <v>−</v>
      </c>
      <c r="U108" s="16" t="str">
        <f>LEFT(基本設定!I6,1)</f>
        <v>−</v>
      </c>
      <c r="V108" s="18"/>
      <c r="W108" s="18"/>
      <c r="X108" s="16" t="str">
        <f>LEFT(基本設定!E6,1)</f>
        <v>−</v>
      </c>
      <c r="Y108" s="16" t="str">
        <f>LEFT(基本設定!F6,1)</f>
        <v>−</v>
      </c>
      <c r="Z108" s="16" t="str">
        <f>LEFT(基本設定!G6,1)</f>
        <v>−</v>
      </c>
      <c r="AA108" s="16" t="str">
        <f>LEFT(基本設定!H6,1)</f>
        <v>−</v>
      </c>
      <c r="AB108" s="16" t="str">
        <f>LEFT(基本設定!I6,1)</f>
        <v>−</v>
      </c>
      <c r="AC108" s="18"/>
      <c r="AD108" s="18"/>
      <c r="AE108" s="16" t="str">
        <f>IF(AE$104="","",LEFT(基本設定!E6,1))</f>
        <v>−</v>
      </c>
      <c r="AF108" s="16" t="str">
        <f>IF(AF$104="","",LEFT(基本設定!F6,1))</f>
        <v>−</v>
      </c>
      <c r="AG108" s="16" t="str">
        <f>IF(AG$104="","",LEFT(基本設定!G6,1))</f>
        <v/>
      </c>
      <c r="AH108" s="16" t="str">
        <f>IF(AH$104="","",LEFT(基本設定!H6,1))</f>
        <v/>
      </c>
      <c r="AI108" s="16" t="str">
        <f>IF(AI$104="","",LEFT(基本設定!I6,1))</f>
        <v/>
      </c>
      <c r="AJ108" s="18"/>
      <c r="AK108" s="18"/>
    </row>
    <row r="109" spans="2:39" x14ac:dyDescent="0.15">
      <c r="B109" s="5">
        <v>4</v>
      </c>
      <c r="C109" s="16" t="str">
        <f>IF(C$104="","",LEFT(基本設定!E7,1))</f>
        <v/>
      </c>
      <c r="D109" s="16" t="str">
        <f>IF(D$104="","",LEFT(基本設定!F7,1))</f>
        <v/>
      </c>
      <c r="E109" s="16" t="str">
        <f>IF(E$104="","",LEFT(基本設定!G7,1))</f>
        <v>−</v>
      </c>
      <c r="F109" s="16" t="str">
        <f>IF(F$104="","",LEFT(基本設定!H7,1))</f>
        <v>−</v>
      </c>
      <c r="G109" s="16" t="str">
        <f>IF(G$104="","",LEFT(基本設定!I7,1))</f>
        <v>−</v>
      </c>
      <c r="H109" s="18"/>
      <c r="I109" s="18"/>
      <c r="J109" s="16" t="str">
        <f>LEFT(基本設定!E7,1)</f>
        <v>−</v>
      </c>
      <c r="K109" s="16" t="str">
        <f>LEFT(基本設定!F7,1)</f>
        <v>−</v>
      </c>
      <c r="L109" s="16" t="str">
        <f>LEFT(基本設定!G7,1)</f>
        <v>−</v>
      </c>
      <c r="M109" s="16" t="str">
        <f>IF(M$104=11,"念",LEFT(基本設定!H7,1))</f>
        <v>−</v>
      </c>
      <c r="N109" s="16" t="str">
        <f>IF(N$104=11,"念",LEFT(基本設定!I7,1))</f>
        <v>−</v>
      </c>
      <c r="O109" s="18" t="str">
        <f>IF(O$104=11,"念","")</f>
        <v>念</v>
      </c>
      <c r="P109" s="18" t="str">
        <f>IF(P$104=11,"念","")</f>
        <v/>
      </c>
      <c r="Q109" s="16" t="str">
        <f>IF(Q$104=12,"日",IF(Q$104=11,"念",LEFT(基本設定!E7,1)))</f>
        <v>−</v>
      </c>
      <c r="R109" s="16" t="str">
        <f>IF(R$104=11,"念",LEFT(基本設定!F7,1))</f>
        <v>−</v>
      </c>
      <c r="S109" s="16" t="str">
        <f>IF(S$104=11,"念",LEFT(基本設定!G7,1))</f>
        <v>−</v>
      </c>
      <c r="T109" s="16" t="str">
        <f>LEFT(基本設定!H7,1)</f>
        <v>−</v>
      </c>
      <c r="U109" s="16" t="str">
        <f>LEFT(基本設定!I7,1)</f>
        <v>−</v>
      </c>
      <c r="V109" s="18"/>
      <c r="W109" s="18"/>
      <c r="X109" s="16" t="str">
        <f>LEFT(基本設定!E7,1)</f>
        <v>−</v>
      </c>
      <c r="Y109" s="16" t="str">
        <f>LEFT(基本設定!F7,1)</f>
        <v>−</v>
      </c>
      <c r="Z109" s="16" t="str">
        <f>LEFT(基本設定!G7,1)</f>
        <v>−</v>
      </c>
      <c r="AA109" s="16" t="str">
        <f>LEFT(基本設定!H7,1)</f>
        <v>−</v>
      </c>
      <c r="AB109" s="16" t="str">
        <f>LEFT(基本設定!I7,1)</f>
        <v>−</v>
      </c>
      <c r="AC109" s="18"/>
      <c r="AD109" s="18"/>
      <c r="AE109" s="16" t="str">
        <f>IF(AE$104="","",LEFT(基本設定!E7,1))</f>
        <v>−</v>
      </c>
      <c r="AF109" s="16" t="str">
        <f>IF(AF$104="","",LEFT(基本設定!F7,1))</f>
        <v>−</v>
      </c>
      <c r="AG109" s="16" t="str">
        <f>IF(AG$104="","",LEFT(基本設定!G7,1))</f>
        <v/>
      </c>
      <c r="AH109" s="16" t="str">
        <f>IF(AH$104="","",LEFT(基本設定!H7,1))</f>
        <v/>
      </c>
      <c r="AI109" s="16" t="str">
        <f>IF(AI$104="","",LEFT(基本設定!I7,1))</f>
        <v/>
      </c>
      <c r="AJ109" s="18"/>
      <c r="AK109" s="18"/>
    </row>
    <row r="110" spans="2:39" x14ac:dyDescent="0.15">
      <c r="B110" s="5">
        <v>5</v>
      </c>
      <c r="C110" s="16" t="str">
        <f>IF(C$104="","",LEFT(基本設定!E8,1))</f>
        <v/>
      </c>
      <c r="D110" s="16" t="str">
        <f>IF(D$104="","",LEFT(基本設定!F8,1))</f>
        <v/>
      </c>
      <c r="E110" s="16" t="str">
        <f>IF(E$104="","",LEFT(基本設定!G8,1))</f>
        <v>−</v>
      </c>
      <c r="F110" s="16" t="str">
        <f>IF(F$104="","",LEFT(基本設定!H8,1))</f>
        <v>−</v>
      </c>
      <c r="G110" s="16" t="str">
        <f>IF(G$104="","",LEFT(基本設定!I8,1))</f>
        <v>−</v>
      </c>
      <c r="H110" s="18"/>
      <c r="I110" s="18"/>
      <c r="J110" s="16" t="str">
        <f>LEFT(基本設定!E8,1)</f>
        <v>−</v>
      </c>
      <c r="K110" s="16" t="str">
        <f>LEFT(基本設定!F8,1)</f>
        <v>−</v>
      </c>
      <c r="L110" s="16" t="str">
        <f>LEFT(基本設定!G8,1)</f>
        <v>−</v>
      </c>
      <c r="M110" s="16" t="str">
        <f>IF(M$104=11,"の",LEFT(基本設定!H8,1))</f>
        <v>−</v>
      </c>
      <c r="N110" s="16" t="str">
        <f>IF(N$104=11,"の",LEFT(基本設定!I8,1))</f>
        <v>−</v>
      </c>
      <c r="O110" s="18" t="str">
        <f>IF(O$104=11,"の","")</f>
        <v>の</v>
      </c>
      <c r="P110" s="18" t="str">
        <f>IF(P$104=11,"の","")</f>
        <v/>
      </c>
      <c r="Q110" s="16" t="str">
        <f>IF(Q$104=12,"",IF(Q$104=11,"の",LEFT(基本設定!E8,1)))</f>
        <v>−</v>
      </c>
      <c r="R110" s="16" t="str">
        <f>IF(R$104=11,"の",LEFT(基本設定!F8,1))</f>
        <v>−</v>
      </c>
      <c r="S110" s="16" t="str">
        <f>IF(S$104=11,"の",LEFT(基本設定!G8,1))</f>
        <v>−</v>
      </c>
      <c r="T110" s="16" t="str">
        <f>LEFT(基本設定!H8,1)</f>
        <v>−</v>
      </c>
      <c r="U110" s="16" t="str">
        <f>LEFT(基本設定!I8,1)</f>
        <v>−</v>
      </c>
      <c r="V110" s="18"/>
      <c r="W110" s="18"/>
      <c r="X110" s="16" t="str">
        <f>LEFT(基本設定!E8,1)</f>
        <v>−</v>
      </c>
      <c r="Y110" s="16" t="str">
        <f>LEFT(基本設定!F8,1)</f>
        <v>−</v>
      </c>
      <c r="Z110" s="16" t="str">
        <f>LEFT(基本設定!G8,1)</f>
        <v>−</v>
      </c>
      <c r="AA110" s="16" t="str">
        <f>LEFT(基本設定!H8,1)</f>
        <v>−</v>
      </c>
      <c r="AB110" s="16" t="str">
        <f>LEFT(基本設定!I8,1)</f>
        <v>−</v>
      </c>
      <c r="AC110" s="18"/>
      <c r="AD110" s="18"/>
      <c r="AE110" s="16" t="str">
        <f>IF(AE$104="","",LEFT(基本設定!E8,1))</f>
        <v>−</v>
      </c>
      <c r="AF110" s="16" t="str">
        <f>IF(AF$104="","",LEFT(基本設定!F8,1))</f>
        <v>−</v>
      </c>
      <c r="AG110" s="16" t="str">
        <f>IF(AG$104="","",LEFT(基本設定!G8,1))</f>
        <v/>
      </c>
      <c r="AH110" s="16" t="str">
        <f>IF(AH$104="","",LEFT(基本設定!H8,1))</f>
        <v/>
      </c>
      <c r="AI110" s="16" t="str">
        <f>IF(AI$104="","",LEFT(基本設定!I8,1))</f>
        <v/>
      </c>
      <c r="AJ110" s="18"/>
      <c r="AK110" s="18"/>
    </row>
    <row r="111" spans="2:39" x14ac:dyDescent="0.15">
      <c r="B111" s="5">
        <v>6</v>
      </c>
      <c r="C111" s="16" t="str">
        <f>IF(C$104="","",LEFT(基本設定!E9,1))</f>
        <v/>
      </c>
      <c r="D111" s="16" t="str">
        <f>IF(D$104="","",LEFT(基本設定!F9,1))</f>
        <v/>
      </c>
      <c r="E111" s="16" t="str">
        <f>IF(E$104="","",LEFT(基本設定!G9,1))</f>
        <v>−</v>
      </c>
      <c r="F111" s="16" t="str">
        <f>IF(F$104="","",LEFT(基本設定!H9,1))</f>
        <v>−</v>
      </c>
      <c r="G111" s="16" t="str">
        <f>IF(G$104="","",LEFT(基本設定!I9,1))</f>
        <v>−</v>
      </c>
      <c r="H111" s="18"/>
      <c r="I111" s="18"/>
      <c r="J111" s="16" t="str">
        <f>LEFT(基本設定!E9,1)</f>
        <v>−</v>
      </c>
      <c r="K111" s="16" t="str">
        <f>LEFT(基本設定!F9,1)</f>
        <v>−</v>
      </c>
      <c r="L111" s="16" t="str">
        <f>LEFT(基本設定!G9,1)</f>
        <v>−</v>
      </c>
      <c r="M111" s="16" t="str">
        <f>IF(M$104=11,"日",LEFT(基本設定!H9,1))</f>
        <v>−</v>
      </c>
      <c r="N111" s="16" t="str">
        <f>IF(N$104=11,"日",LEFT(基本設定!I9,1))</f>
        <v>−</v>
      </c>
      <c r="O111" s="18" t="str">
        <f>IF(O$104=11,"日","")</f>
        <v>日</v>
      </c>
      <c r="P111" s="18" t="str">
        <f>IF(P$104=11,"日","")</f>
        <v/>
      </c>
      <c r="Q111" s="16" t="str">
        <f>IF(Q$104=12,"",IF(Q$104=11,"日",LEFT(基本設定!E9,1)))</f>
        <v>−</v>
      </c>
      <c r="R111" s="16" t="str">
        <f>IF(R$104=11,"日",LEFT(基本設定!F9,1))</f>
        <v>−</v>
      </c>
      <c r="S111" s="16" t="str">
        <f>IF(S$104=11,"日",LEFT(基本設定!G9,1))</f>
        <v>−</v>
      </c>
      <c r="T111" s="16" t="str">
        <f>LEFT(基本設定!H9,1)</f>
        <v>−</v>
      </c>
      <c r="U111" s="16" t="str">
        <f>LEFT(基本設定!I9,1)</f>
        <v>−</v>
      </c>
      <c r="V111" s="18"/>
      <c r="W111" s="18"/>
      <c r="X111" s="16" t="str">
        <f>LEFT(基本設定!E9,1)</f>
        <v>−</v>
      </c>
      <c r="Y111" s="16" t="str">
        <f>LEFT(基本設定!F9,1)</f>
        <v>−</v>
      </c>
      <c r="Z111" s="16" t="str">
        <f>LEFT(基本設定!G9,1)</f>
        <v>−</v>
      </c>
      <c r="AA111" s="16" t="str">
        <f>LEFT(基本設定!H9,1)</f>
        <v>−</v>
      </c>
      <c r="AB111" s="16" t="str">
        <f>LEFT(基本設定!I9,1)</f>
        <v>−</v>
      </c>
      <c r="AC111" s="18"/>
      <c r="AD111" s="18"/>
      <c r="AE111" s="16" t="str">
        <f>IF(AE$104="","",LEFT(基本設定!E9,1))</f>
        <v>−</v>
      </c>
      <c r="AF111" s="16" t="str">
        <f>IF(AF$104="","",LEFT(基本設定!F9,1))</f>
        <v>−</v>
      </c>
      <c r="AG111" s="16" t="str">
        <f>IF(AG$104="","",LEFT(基本設定!G9,1))</f>
        <v/>
      </c>
      <c r="AH111" s="16" t="str">
        <f>IF(AH$104="","",LEFT(基本設定!H9,1))</f>
        <v/>
      </c>
      <c r="AI111" s="16" t="str">
        <f>IF(AI$104="","",LEFT(基本設定!I9,1))</f>
        <v/>
      </c>
      <c r="AJ111" s="18"/>
      <c r="AK111" s="18"/>
    </row>
    <row r="113" spans="2:39" x14ac:dyDescent="0.15">
      <c r="B113" s="13">
        <v>3</v>
      </c>
      <c r="C113" s="14" t="s">
        <v>26</v>
      </c>
    </row>
    <row r="114" spans="2:39" x14ac:dyDescent="0.15">
      <c r="B114" s="5"/>
      <c r="C114" s="5" t="str">
        <f>IF(WEEKDAY(DATE($C$1+1989,$B$113,1),2)=1,1,"")</f>
        <v/>
      </c>
      <c r="D114" s="5" t="str">
        <f>IF(C114="",IF(WEEKDAY(DATE($C$1+1989,$B$113,1),2)=2,1,""),C114+1)</f>
        <v/>
      </c>
      <c r="E114" s="5">
        <f>IF(D114="",IF(WEEKDAY(DATE($C$1+1989,$B$113,1),2)=3,1,""),D114+1)</f>
        <v>1</v>
      </c>
      <c r="F114" s="5">
        <f>IF(E114="",IF(WEEKDAY(DATE($C$1+1989,$B$113,1),2)=4,1,""),E114+1)</f>
        <v>2</v>
      </c>
      <c r="G114" s="5">
        <f>IF(F114="",IF(WEEKDAY(DATE($C$1+1989,$B$113,1),2)=5,1,""),F114+1)</f>
        <v>3</v>
      </c>
      <c r="H114" s="8">
        <f>IF(G114="",IF(WEEKDAY(DATE($C$1+1989,$B$113,1),2)=6,1,""),G114+1)</f>
        <v>4</v>
      </c>
      <c r="I114" s="8">
        <f>IF(H114="",IF(WEEKDAY(DATE($C$1+1989,$B$113,1),2)=7,1,""),H114+1)</f>
        <v>5</v>
      </c>
      <c r="J114" s="5">
        <f>I114+1</f>
        <v>6</v>
      </c>
      <c r="K114" s="5">
        <f t="shared" ref="K114" si="253">J114+1</f>
        <v>7</v>
      </c>
      <c r="L114" s="5">
        <f t="shared" ref="L114" si="254">K114+1</f>
        <v>8</v>
      </c>
      <c r="M114" s="5">
        <f t="shared" ref="M114" si="255">L114+1</f>
        <v>9</v>
      </c>
      <c r="N114" s="5">
        <f t="shared" ref="N114" si="256">M114+1</f>
        <v>10</v>
      </c>
      <c r="O114" s="8">
        <f t="shared" ref="O114" si="257">N114+1</f>
        <v>11</v>
      </c>
      <c r="P114" s="8">
        <f t="shared" ref="P114" si="258">O114+1</f>
        <v>12</v>
      </c>
      <c r="Q114" s="5">
        <f t="shared" ref="Q114" si="259">P114+1</f>
        <v>13</v>
      </c>
      <c r="R114" s="5">
        <f t="shared" ref="R114" si="260">Q114+1</f>
        <v>14</v>
      </c>
      <c r="S114" s="5">
        <f t="shared" ref="S114" si="261">R114+1</f>
        <v>15</v>
      </c>
      <c r="T114" s="5">
        <f t="shared" ref="T114" si="262">S114+1</f>
        <v>16</v>
      </c>
      <c r="U114" s="5">
        <f t="shared" ref="U114" si="263">T114+1</f>
        <v>17</v>
      </c>
      <c r="V114" s="8">
        <f t="shared" ref="V114" si="264">U114+1</f>
        <v>18</v>
      </c>
      <c r="W114" s="8">
        <f t="shared" ref="W114" si="265">V114+1</f>
        <v>19</v>
      </c>
      <c r="X114" s="5">
        <f t="shared" ref="X114" si="266">W114+1</f>
        <v>20</v>
      </c>
      <c r="Y114" s="5">
        <f t="shared" ref="Y114" si="267">X114+1</f>
        <v>21</v>
      </c>
      <c r="Z114" s="5">
        <f t="shared" ref="Z114" si="268">Y114+1</f>
        <v>22</v>
      </c>
      <c r="AA114" s="5">
        <f t="shared" ref="AA114" si="269">Z114+1</f>
        <v>23</v>
      </c>
      <c r="AB114" s="5">
        <f t="shared" ref="AB114" si="270">AA114+1</f>
        <v>24</v>
      </c>
      <c r="AC114" s="8">
        <f t="shared" ref="AC114" si="271">AB114+1</f>
        <v>25</v>
      </c>
      <c r="AD114" s="8">
        <f t="shared" ref="AD114" si="272">AC114+1</f>
        <v>26</v>
      </c>
      <c r="AE114" s="5">
        <f t="shared" ref="AE114" si="273">AD114+1</f>
        <v>27</v>
      </c>
      <c r="AF114" s="5">
        <f>IFERROR(IF(AE114=31,"",AE114+1),"")</f>
        <v>28</v>
      </c>
      <c r="AG114" s="5">
        <f t="shared" ref="AG114" si="274">IFERROR(IF(AF114=31,"",AF114+1),"")</f>
        <v>29</v>
      </c>
      <c r="AH114" s="5">
        <f t="shared" ref="AH114" si="275">IFERROR(IF(AG114=31,"",AG114+1),"")</f>
        <v>30</v>
      </c>
      <c r="AI114" s="5">
        <f t="shared" ref="AI114" si="276">IFERROR(IF(AH114=31,"",AH114+1),"")</f>
        <v>31</v>
      </c>
      <c r="AJ114" s="8" t="str">
        <f t="shared" ref="AJ114" si="277">IFERROR(IF(AI114=31,"",AI114+1),"")</f>
        <v/>
      </c>
      <c r="AK114" s="8" t="str">
        <f t="shared" ref="AK114" si="278">IFERROR(IF(AJ114=31,"",AJ114+1),"")</f>
        <v/>
      </c>
      <c r="AL114" s="5" t="str">
        <f t="shared" ref="AL114" si="279">IFERROR(IF(AK114=31,"",AK114+1),"")</f>
        <v/>
      </c>
      <c r="AM114" s="5" t="str">
        <f t="shared" ref="AM114" si="280">IFERROR(IF(AL114=31,"",AL114+1),"")</f>
        <v/>
      </c>
    </row>
    <row r="115" spans="2:39" x14ac:dyDescent="0.15">
      <c r="B115" s="5" t="s">
        <v>29</v>
      </c>
      <c r="C115" s="5" t="s">
        <v>3</v>
      </c>
      <c r="D115" s="5" t="s">
        <v>22</v>
      </c>
      <c r="E115" s="5" t="s">
        <v>23</v>
      </c>
      <c r="F115" s="5" t="s">
        <v>24</v>
      </c>
      <c r="G115" s="5" t="s">
        <v>25</v>
      </c>
      <c r="H115" s="8" t="s">
        <v>27</v>
      </c>
      <c r="I115" s="8" t="s">
        <v>28</v>
      </c>
      <c r="J115" s="5" t="s">
        <v>2</v>
      </c>
      <c r="K115" s="5" t="s">
        <v>4</v>
      </c>
      <c r="L115" s="5" t="s">
        <v>5</v>
      </c>
      <c r="M115" s="5" t="s">
        <v>6</v>
      </c>
      <c r="N115" s="5" t="s">
        <v>7</v>
      </c>
      <c r="O115" s="8" t="s">
        <v>27</v>
      </c>
      <c r="P115" s="8" t="s">
        <v>28</v>
      </c>
      <c r="Q115" s="5" t="s">
        <v>2</v>
      </c>
      <c r="R115" s="5" t="s">
        <v>4</v>
      </c>
      <c r="S115" s="5" t="s">
        <v>5</v>
      </c>
      <c r="T115" s="5" t="s">
        <v>6</v>
      </c>
      <c r="U115" s="5" t="s">
        <v>7</v>
      </c>
      <c r="V115" s="8" t="s">
        <v>27</v>
      </c>
      <c r="W115" s="8" t="s">
        <v>28</v>
      </c>
      <c r="X115" s="5" t="s">
        <v>2</v>
      </c>
      <c r="Y115" s="5" t="s">
        <v>4</v>
      </c>
      <c r="Z115" s="5" t="s">
        <v>5</v>
      </c>
      <c r="AA115" s="5" t="s">
        <v>6</v>
      </c>
      <c r="AB115" s="5" t="s">
        <v>7</v>
      </c>
      <c r="AC115" s="8" t="s">
        <v>27</v>
      </c>
      <c r="AD115" s="8" t="s">
        <v>28</v>
      </c>
      <c r="AE115" s="5" t="s">
        <v>2</v>
      </c>
      <c r="AF115" s="5" t="s">
        <v>4</v>
      </c>
      <c r="AG115" s="5" t="s">
        <v>5</v>
      </c>
      <c r="AH115" s="5" t="s">
        <v>6</v>
      </c>
      <c r="AI115" s="5" t="s">
        <v>7</v>
      </c>
      <c r="AJ115" s="8" t="s">
        <v>27</v>
      </c>
      <c r="AK115" s="8" t="s">
        <v>28</v>
      </c>
      <c r="AL115" s="5" t="s">
        <v>2</v>
      </c>
      <c r="AM115" s="5" t="s">
        <v>4</v>
      </c>
    </row>
    <row r="116" spans="2:39" x14ac:dyDescent="0.15">
      <c r="B116" s="5">
        <v>1</v>
      </c>
      <c r="C116" s="16" t="str">
        <f>IF(C$114="","",LEFT(基本設定!E4,1))</f>
        <v/>
      </c>
      <c r="D116" s="16" t="str">
        <f>IF(D$114="","",LEFT(基本設定!F4,1))</f>
        <v/>
      </c>
      <c r="E116" s="16" t="str">
        <f>IF(E$114="","",LEFT(基本設定!G4,1))</f>
        <v>−</v>
      </c>
      <c r="F116" s="16" t="str">
        <f>IF(F$114="","",LEFT(基本設定!H4,1))</f>
        <v>−</v>
      </c>
      <c r="G116" s="16" t="str">
        <f>IF(G$114="","",LEFT(基本設定!I4,1))</f>
        <v>−</v>
      </c>
      <c r="H116" s="18"/>
      <c r="I116" s="18"/>
      <c r="J116" s="16" t="str">
        <f>LEFT(基本設定!E4,1)</f>
        <v>−</v>
      </c>
      <c r="K116" s="16" t="str">
        <f>LEFT(基本設定!F4,1)</f>
        <v>−</v>
      </c>
      <c r="L116" s="16" t="str">
        <f>LEFT(基本設定!G4,1)</f>
        <v>−</v>
      </c>
      <c r="M116" s="16" t="str">
        <f>LEFT(基本設定!H4,1)</f>
        <v>−</v>
      </c>
      <c r="N116" s="16" t="str">
        <f>LEFT(基本設定!I4,1)</f>
        <v>−</v>
      </c>
      <c r="O116" s="18"/>
      <c r="P116" s="18"/>
      <c r="Q116" s="16" t="str">
        <f>LEFT(基本設定!E4,1)</f>
        <v>−</v>
      </c>
      <c r="R116" s="16" t="str">
        <f>LEFT(基本設定!F4,1)</f>
        <v>−</v>
      </c>
      <c r="S116" s="16" t="str">
        <f>LEFT(基本設定!G4,1)</f>
        <v>−</v>
      </c>
      <c r="T116" s="16" t="str">
        <f>LEFT(基本設定!H4,1)</f>
        <v>−</v>
      </c>
      <c r="U116" s="16" t="str">
        <f>LEFT(基本設定!I4,1)</f>
        <v>−</v>
      </c>
      <c r="V116" s="18" t="str">
        <f>IF(INT(20.8431+0.242194*($C$1+1989-1980)-INT(($C$1+1989-1980)/4))=V$114,"春","")</f>
        <v/>
      </c>
      <c r="W116" s="18" t="str">
        <f>IF(INT(20.8431+0.242194*($C$1+1989-1980)-INT(($C$1+1989-1980)/4))=W$114,"春","")</f>
        <v/>
      </c>
      <c r="X116" s="16" t="str">
        <f>IF(INT(20.8431+0.242194*($C$1+1989-1980)-INT(($C$1+1989-1980)/4))=X$114,"春",IF(W$116="春","",LEFT(基本設定!E4,1)))</f>
        <v>−</v>
      </c>
      <c r="Y116" s="16" t="str">
        <f>IF(INT(20.8431+0.242194*($C$1+1989-1980)-INT(($C$1+1989-1980)/4))=Y$114,"春",LEFT(基本設定!F4,1))</f>
        <v>春</v>
      </c>
      <c r="Z116" s="16" t="str">
        <f>IF(INT(20.8431+0.242194*($C$1+1989-1980)-INT(($C$1+1989-1980)/4))=Z$114,"春",LEFT(基本設定!G4,1))</f>
        <v>−</v>
      </c>
      <c r="AA116" s="16" t="str">
        <f>IF(INT(20.8431+0.242194*($C$1+1989-1980)-INT(($C$1+1989-1980)/4))=AA$114,"春",LEFT(基本設定!H4,1))</f>
        <v>−</v>
      </c>
      <c r="AB116" s="16" t="str">
        <f>IF(INT(20.8431+0.242194*($C$1+1989-1980)-INT(($C$1+1989-1980)/4))=AB$114,"春",LEFT(基本設定!I4,1))</f>
        <v>−</v>
      </c>
      <c r="AC116" s="18" t="str">
        <f t="shared" ref="AC116:AD116" si="281">IF(INT(20.8431+0.242194*($C$1+1989-1980)-INT(($C$1+1989-1980)/4))=AC$114,"春","")</f>
        <v/>
      </c>
      <c r="AD116" s="18" t="str">
        <f t="shared" si="281"/>
        <v/>
      </c>
      <c r="AE116" s="16" t="str">
        <f>IF(AE$114&gt;=27,"",LEFT(基本設定!E4,1))</f>
        <v/>
      </c>
      <c r="AF116" s="16" t="str">
        <f>IF(AF$114&gt;=27,"",LEFT(基本設定!F4,1))</f>
        <v/>
      </c>
      <c r="AG116" s="16" t="str">
        <f>IF(AG$114="","",IF(AG$114&gt;=27,"",LEFT(基本設定!G4,1)))</f>
        <v/>
      </c>
      <c r="AH116" s="16" t="str">
        <f>IF(AH$114="","",IF(AH$114&gt;=27,"",LEFT(基本設定!H4,1)))</f>
        <v/>
      </c>
      <c r="AI116" s="16" t="str">
        <f>IF(AI$114="","",IF(AI$114&gt;=27,"",LEFT(基本設定!I4,1)))</f>
        <v/>
      </c>
      <c r="AJ116" s="18"/>
      <c r="AK116" s="18"/>
      <c r="AL116" s="16"/>
      <c r="AM116" s="16"/>
    </row>
    <row r="117" spans="2:39" x14ac:dyDescent="0.15">
      <c r="B117" s="5">
        <v>2</v>
      </c>
      <c r="C117" s="16" t="str">
        <f>IF(C$114="","",LEFT(基本設定!E5,1))</f>
        <v/>
      </c>
      <c r="D117" s="16" t="str">
        <f>IF(D$114="","",LEFT(基本設定!F5,1))</f>
        <v/>
      </c>
      <c r="E117" s="16" t="str">
        <f>IF(E$114="","",LEFT(基本設定!G5,1))</f>
        <v>−</v>
      </c>
      <c r="F117" s="16" t="str">
        <f>IF(F$114="","",LEFT(基本設定!H5,1))</f>
        <v>−</v>
      </c>
      <c r="G117" s="16" t="str">
        <f>IF(G$114="","",LEFT(基本設定!I5,1))</f>
        <v>−</v>
      </c>
      <c r="H117" s="18"/>
      <c r="I117" s="18"/>
      <c r="J117" s="16" t="str">
        <f>LEFT(基本設定!E5,1)</f>
        <v>−</v>
      </c>
      <c r="K117" s="16" t="str">
        <f>LEFT(基本設定!F5,1)</f>
        <v>−</v>
      </c>
      <c r="L117" s="16" t="str">
        <f>LEFT(基本設定!G5,1)</f>
        <v>−</v>
      </c>
      <c r="M117" s="16" t="str">
        <f>LEFT(基本設定!H5,1)</f>
        <v>−</v>
      </c>
      <c r="N117" s="16" t="str">
        <f>LEFT(基本設定!I5,1)</f>
        <v>−</v>
      </c>
      <c r="O117" s="18"/>
      <c r="P117" s="18"/>
      <c r="Q117" s="16" t="str">
        <f>LEFT(基本設定!E5,1)</f>
        <v>−</v>
      </c>
      <c r="R117" s="16" t="str">
        <f>LEFT(基本設定!F5,1)</f>
        <v>−</v>
      </c>
      <c r="S117" s="16" t="str">
        <f>LEFT(基本設定!G5,1)</f>
        <v>−</v>
      </c>
      <c r="T117" s="16" t="str">
        <f>LEFT(基本設定!H5,1)</f>
        <v>−</v>
      </c>
      <c r="U117" s="16" t="str">
        <f>LEFT(基本設定!I5,1)</f>
        <v>−</v>
      </c>
      <c r="V117" s="18" t="str">
        <f>IF(INT(20.8431+0.242194*($C$1+1989-1980)-INT(($C$1+1989-1980)/4))=V$114,"分","")</f>
        <v/>
      </c>
      <c r="W117" s="18" t="str">
        <f>IF(INT(20.8431+0.242194*($C$1+1989-1980)-INT(($C$1+1989-1980)/4))=W$114,"分","")</f>
        <v/>
      </c>
      <c r="X117" s="16" t="str">
        <f>IF(INT(20.8431+0.242194*($C$1+1989-1980)-INT(($C$1+1989-1980)/4))=X$114,"分",IF(W$116="春","休",LEFT(基本設定!E5,1)))</f>
        <v>−</v>
      </c>
      <c r="Y117" s="16" t="str">
        <f>IF(INT(20.8431+0.242194*($C$1+1989-1980)-INT(($C$1+1989-1980)/4))=Y$114,"分",LEFT(基本設定!F5,1))</f>
        <v>分</v>
      </c>
      <c r="Z117" s="16" t="str">
        <f>IF(INT(20.8431+0.242194*($C$1+1989-1980)-INT(($C$1+1989-1980)/4))=Z$114,"分",LEFT(基本設定!G5,1))</f>
        <v>−</v>
      </c>
      <c r="AA117" s="16" t="str">
        <f>IF(INT(20.8431+0.242194*($C$1+1989-1980)-INT(($C$1+1989-1980)/4))=AA$114,"分",LEFT(基本設定!H5,1))</f>
        <v>−</v>
      </c>
      <c r="AB117" s="16" t="str">
        <f>IF(INT(20.8431+0.242194*($C$1+1989-1980)-INT(($C$1+1989-1980)/4))=AB$114,"分",LEFT(基本設定!I5,1))</f>
        <v>−</v>
      </c>
      <c r="AC117" s="18" t="str">
        <f t="shared" ref="AC117:AD117" si="282">IF(INT(20.8431+0.242194*($C$1+1989-1980)-INT(($C$1+1989-1980)/4))=AC$114,"分","")</f>
        <v/>
      </c>
      <c r="AD117" s="18" t="str">
        <f t="shared" si="282"/>
        <v/>
      </c>
      <c r="AE117" s="16" t="str">
        <f>IF(AE$114&gt;=27,"",LEFT(基本設定!E5,1))</f>
        <v/>
      </c>
      <c r="AF117" s="16" t="str">
        <f>IF(AF$114&gt;=27,"",LEFT(基本設定!F5,1))</f>
        <v/>
      </c>
      <c r="AG117" s="16" t="str">
        <f>IF(AG$114="","",IF(AG$114&gt;=27,"",LEFT(基本設定!G5,1)))</f>
        <v/>
      </c>
      <c r="AH117" s="16" t="str">
        <f>IF(AH$114="","",IF(AH$114&gt;=27,"",LEFT(基本設定!H5,1)))</f>
        <v/>
      </c>
      <c r="AI117" s="16" t="str">
        <f>IF(AI$114="","",IF(AI$114&gt;=27,"",LEFT(基本設定!I5,1)))</f>
        <v/>
      </c>
      <c r="AJ117" s="18"/>
      <c r="AK117" s="18"/>
      <c r="AL117" s="16"/>
      <c r="AM117" s="16"/>
    </row>
    <row r="118" spans="2:39" x14ac:dyDescent="0.15">
      <c r="B118" s="5">
        <v>3</v>
      </c>
      <c r="C118" s="16" t="str">
        <f>IF(C$114="","",LEFT(基本設定!E6,1))</f>
        <v/>
      </c>
      <c r="D118" s="16" t="str">
        <f>IF(D$114="","",LEFT(基本設定!F6,1))</f>
        <v/>
      </c>
      <c r="E118" s="16" t="str">
        <f>IF(E$114="","",LEFT(基本設定!G6,1))</f>
        <v>−</v>
      </c>
      <c r="F118" s="16" t="str">
        <f>IF(F$114="","",LEFT(基本設定!H6,1))</f>
        <v>−</v>
      </c>
      <c r="G118" s="16" t="str">
        <f>IF(G$114="","",LEFT(基本設定!I6,1))</f>
        <v>−</v>
      </c>
      <c r="H118" s="18"/>
      <c r="I118" s="18"/>
      <c r="J118" s="16" t="str">
        <f>LEFT(基本設定!E6,1)</f>
        <v>−</v>
      </c>
      <c r="K118" s="16" t="str">
        <f>LEFT(基本設定!F6,1)</f>
        <v>−</v>
      </c>
      <c r="L118" s="16" t="str">
        <f>LEFT(基本設定!G6,1)</f>
        <v>−</v>
      </c>
      <c r="M118" s="16" t="str">
        <f>LEFT(基本設定!H6,1)</f>
        <v>−</v>
      </c>
      <c r="N118" s="16" t="str">
        <f>LEFT(基本設定!I6,1)</f>
        <v>−</v>
      </c>
      <c r="O118" s="18"/>
      <c r="P118" s="18"/>
      <c r="Q118" s="16" t="str">
        <f>LEFT(基本設定!E6,1)</f>
        <v>−</v>
      </c>
      <c r="R118" s="16" t="str">
        <f>LEFT(基本設定!F6,1)</f>
        <v>−</v>
      </c>
      <c r="S118" s="16" t="str">
        <f>LEFT(基本設定!G6,1)</f>
        <v>−</v>
      </c>
      <c r="T118" s="16" t="str">
        <f>LEFT(基本設定!H6,1)</f>
        <v>−</v>
      </c>
      <c r="U118" s="16" t="str">
        <f>LEFT(基本設定!I6,1)</f>
        <v>−</v>
      </c>
      <c r="V118" s="18" t="str">
        <f>IF(INT(20.8431+0.242194*($C$1+1989-1980)-INT(($C$1+1989-1980)/4))=V$114,"の","")</f>
        <v/>
      </c>
      <c r="W118" s="18" t="str">
        <f>IF(INT(20.8431+0.242194*($C$1+1989-1980)-INT(($C$1+1989-1980)/4))=W$114,"の","")</f>
        <v/>
      </c>
      <c r="X118" s="16" t="str">
        <f>IF(INT(20.8431+0.242194*($C$1+1989-1980)-INT(($C$1+1989-1980)/4))=X$114,"の",IF(W$116="春","",LEFT(基本設定!E6,1)))</f>
        <v>−</v>
      </c>
      <c r="Y118" s="16" t="str">
        <f>IF(INT(20.8431+0.242194*($C$1+1989-1980)-INT(($C$1+1989-1980)/4))=Y$114,"の",LEFT(基本設定!F6,1))</f>
        <v>の</v>
      </c>
      <c r="Z118" s="16" t="str">
        <f>IF(INT(20.8431+0.242194*($C$1+1989-1980)-INT(($C$1+1989-1980)/4))=Z$114,"の",LEFT(基本設定!G6,1))</f>
        <v>−</v>
      </c>
      <c r="AA118" s="16" t="str">
        <f>IF(INT(20.8431+0.242194*($C$1+1989-1980)-INT(($C$1+1989-1980)/4))=AA$114,"の",LEFT(基本設定!H6,1))</f>
        <v>−</v>
      </c>
      <c r="AB118" s="16" t="str">
        <f>IF(INT(20.8431+0.242194*($C$1+1989-1980)-INT(($C$1+1989-1980)/4))=AB$114,"の",LEFT(基本設定!I6,1))</f>
        <v>−</v>
      </c>
      <c r="AC118" s="18" t="str">
        <f t="shared" ref="AC118:AD118" si="283">IF(INT(20.8431+0.242194*($C$1+1989-1980)-INT(($C$1+1989-1980)/4))=AC$114,"の","")</f>
        <v/>
      </c>
      <c r="AD118" s="18" t="str">
        <f t="shared" si="283"/>
        <v/>
      </c>
      <c r="AE118" s="16" t="str">
        <f>IF(AE$114&gt;=27,"",LEFT(基本設定!E6,1))</f>
        <v/>
      </c>
      <c r="AF118" s="16" t="str">
        <f>IF(AF$114&gt;=27,"",LEFT(基本設定!F6,1))</f>
        <v/>
      </c>
      <c r="AG118" s="16" t="str">
        <f>IF(AG$114="","",IF(AG$114&gt;=27,"",LEFT(基本設定!G6,1)))</f>
        <v/>
      </c>
      <c r="AH118" s="16" t="str">
        <f>IF(AH$114="","",IF(AH$114&gt;=27,"",LEFT(基本設定!H6,1)))</f>
        <v/>
      </c>
      <c r="AI118" s="16" t="str">
        <f>IF(AI$114="","",IF(AI$114&gt;=27,"",LEFT(基本設定!I6,1)))</f>
        <v/>
      </c>
      <c r="AJ118" s="18"/>
      <c r="AK118" s="18"/>
      <c r="AL118" s="16"/>
      <c r="AM118" s="16"/>
    </row>
    <row r="119" spans="2:39" x14ac:dyDescent="0.15">
      <c r="B119" s="5">
        <v>4</v>
      </c>
      <c r="C119" s="16" t="str">
        <f>IF(C$114="","",LEFT(基本設定!E7,1))</f>
        <v/>
      </c>
      <c r="D119" s="16" t="str">
        <f>IF(D$114="","",LEFT(基本設定!F7,1))</f>
        <v/>
      </c>
      <c r="E119" s="16" t="str">
        <f>IF(E$114="","",LEFT(基本設定!G7,1))</f>
        <v>−</v>
      </c>
      <c r="F119" s="16" t="str">
        <f>IF(F$114="","",LEFT(基本設定!H7,1))</f>
        <v>−</v>
      </c>
      <c r="G119" s="16" t="str">
        <f>IF(G$114="","",LEFT(基本設定!I7,1))</f>
        <v>−</v>
      </c>
      <c r="H119" s="18"/>
      <c r="I119" s="18"/>
      <c r="J119" s="16" t="str">
        <f>LEFT(基本設定!E7,1)</f>
        <v>−</v>
      </c>
      <c r="K119" s="16" t="str">
        <f>LEFT(基本設定!F7,1)</f>
        <v>−</v>
      </c>
      <c r="L119" s="16" t="str">
        <f>LEFT(基本設定!G7,1)</f>
        <v>−</v>
      </c>
      <c r="M119" s="16" t="str">
        <f>LEFT(基本設定!H7,1)</f>
        <v>−</v>
      </c>
      <c r="N119" s="16" t="str">
        <f>LEFT(基本設定!I7,1)</f>
        <v>−</v>
      </c>
      <c r="O119" s="18"/>
      <c r="P119" s="18"/>
      <c r="Q119" s="16" t="str">
        <f>LEFT(基本設定!E7,1)</f>
        <v>−</v>
      </c>
      <c r="R119" s="16" t="str">
        <f>LEFT(基本設定!F7,1)</f>
        <v>−</v>
      </c>
      <c r="S119" s="16" t="str">
        <f>LEFT(基本設定!G7,1)</f>
        <v>−</v>
      </c>
      <c r="T119" s="16" t="str">
        <f>LEFT(基本設定!H7,1)</f>
        <v>−</v>
      </c>
      <c r="U119" s="16" t="str">
        <f>LEFT(基本設定!I7,1)</f>
        <v>−</v>
      </c>
      <c r="V119" s="18" t="str">
        <f>IF(INT(20.8431+0.242194*($C$1+1989-1980)-INT(($C$1+1989-1980)/4))=V$114,"日","")</f>
        <v/>
      </c>
      <c r="W119" s="18" t="str">
        <f>IF(INT(20.8431+0.242194*($C$1+1989-1980)-INT(($C$1+1989-1980)/4))=W$114,"日","")</f>
        <v/>
      </c>
      <c r="X119" s="16" t="str">
        <f>IF(INT(20.8431+0.242194*($C$1+1989-1980)-INT(($C$1+1989-1980)/4))=X$114,"日",IF(W$116="春","日",LEFT(基本設定!E7,1)))</f>
        <v>−</v>
      </c>
      <c r="Y119" s="16" t="str">
        <f>IF(INT(20.8431+0.242194*($C$1+1989-1980)-INT(($C$1+1989-1980)/4))=Y$114,"日",LEFT(基本設定!F7,1))</f>
        <v>日</v>
      </c>
      <c r="Z119" s="16" t="str">
        <f>IF(INT(20.8431+0.242194*($C$1+1989-1980)-INT(($C$1+1989-1980)/4))=Z$114,"日",LEFT(基本設定!G7,1))</f>
        <v>−</v>
      </c>
      <c r="AA119" s="16" t="str">
        <f>IF(INT(20.8431+0.242194*($C$1+1989-1980)-INT(($C$1+1989-1980)/4))=AA$114,"日",LEFT(基本設定!H7,1))</f>
        <v>−</v>
      </c>
      <c r="AB119" s="16" t="str">
        <f>IF(INT(20.8431+0.242194*($C$1+1989-1980)-INT(($C$1+1989-1980)/4))=AB$114,"日",LEFT(基本設定!I7,1))</f>
        <v>−</v>
      </c>
      <c r="AC119" s="18" t="str">
        <f t="shared" ref="AC119:AD119" si="284">IF(INT(20.8431+0.242194*($C$1+1989-1980)-INT(($C$1+1989-1980)/4))=AC$114,"日","")</f>
        <v/>
      </c>
      <c r="AD119" s="18" t="str">
        <f t="shared" si="284"/>
        <v/>
      </c>
      <c r="AE119" s="16" t="str">
        <f>IF(AE$114&gt;=27,"",LEFT(基本設定!E7,1))</f>
        <v/>
      </c>
      <c r="AF119" s="16" t="str">
        <f>IF(AF$114&gt;=27,"",LEFT(基本設定!F7,1))</f>
        <v/>
      </c>
      <c r="AG119" s="16" t="str">
        <f>IF(AG$114="","",IF(AG$114&gt;=27,"",LEFT(基本設定!G7,1)))</f>
        <v/>
      </c>
      <c r="AH119" s="16" t="str">
        <f>IF(AH$114="","",IF(AH$114&gt;=27,"",LEFT(基本設定!H7,1)))</f>
        <v/>
      </c>
      <c r="AI119" s="16" t="str">
        <f>IF(AI$114="","",IF(AI$114&gt;=27,"",LEFT(基本設定!I7,1)))</f>
        <v/>
      </c>
      <c r="AJ119" s="18"/>
      <c r="AK119" s="18"/>
      <c r="AL119" s="16"/>
      <c r="AM119" s="16"/>
    </row>
    <row r="120" spans="2:39" x14ac:dyDescent="0.15">
      <c r="B120" s="5">
        <v>5</v>
      </c>
      <c r="C120" s="16" t="str">
        <f>IF(C$114="","",LEFT(基本設定!E8,1))</f>
        <v/>
      </c>
      <c r="D120" s="16" t="str">
        <f>IF(D$114="","",LEFT(基本設定!F8,1))</f>
        <v/>
      </c>
      <c r="E120" s="16" t="str">
        <f>IF(E$114="","",LEFT(基本設定!G8,1))</f>
        <v>−</v>
      </c>
      <c r="F120" s="16" t="str">
        <f>IF(F$114="","",LEFT(基本設定!H8,1))</f>
        <v>−</v>
      </c>
      <c r="G120" s="16" t="str">
        <f>IF(G$114="","",LEFT(基本設定!I8,1))</f>
        <v>−</v>
      </c>
      <c r="H120" s="18"/>
      <c r="I120" s="18"/>
      <c r="J120" s="16" t="str">
        <f>LEFT(基本設定!E8,1)</f>
        <v>−</v>
      </c>
      <c r="K120" s="16" t="str">
        <f>LEFT(基本設定!F8,1)</f>
        <v>−</v>
      </c>
      <c r="L120" s="16" t="str">
        <f>LEFT(基本設定!G8,1)</f>
        <v>−</v>
      </c>
      <c r="M120" s="16" t="str">
        <f>LEFT(基本設定!H8,1)</f>
        <v>−</v>
      </c>
      <c r="N120" s="16" t="str">
        <f>LEFT(基本設定!I8,1)</f>
        <v>−</v>
      </c>
      <c r="O120" s="18"/>
      <c r="P120" s="18"/>
      <c r="Q120" s="16" t="str">
        <f>LEFT(基本設定!E8,1)</f>
        <v>−</v>
      </c>
      <c r="R120" s="16" t="str">
        <f>LEFT(基本設定!F8,1)</f>
        <v>−</v>
      </c>
      <c r="S120" s="16" t="str">
        <f>LEFT(基本設定!G8,1)</f>
        <v>−</v>
      </c>
      <c r="T120" s="16" t="str">
        <f>LEFT(基本設定!H8,1)</f>
        <v>−</v>
      </c>
      <c r="U120" s="16" t="str">
        <f>LEFT(基本設定!I8,1)</f>
        <v>−</v>
      </c>
      <c r="V120" s="18" t="str">
        <f>IF(INT(20.8431+0.242194*($C$1+1989-1980)-INT(($C$1+1989-1980)/4))=V$114,"","")</f>
        <v/>
      </c>
      <c r="W120" s="18" t="str">
        <f>IF(INT(20.8431+0.242194*($C$1+1989-1980)-INT(($C$1+1989-1980)/4))=W$114,"","")</f>
        <v/>
      </c>
      <c r="X120" s="16" t="str">
        <f>IF(INT(20.8431+0.242194*($C$1+1989-1980)-INT(($C$1+1989-1980)/4))=X$114,"",IF(W$116="春","",LEFT(基本設定!E8,1)))</f>
        <v>−</v>
      </c>
      <c r="Y120" s="16" t="str">
        <f>IF(INT(20.8431+0.242194*($C$1+1989-1980)-INT(($C$1+1989-1980)/4))=Y$114,"",LEFT(基本設定!F8,1))</f>
        <v/>
      </c>
      <c r="Z120" s="16" t="str">
        <f>IF(INT(20.8431+0.242194*($C$1+1989-1980)-INT(($C$1+1989-1980)/4))=Z$114,"",LEFT(基本設定!G8,1))</f>
        <v>−</v>
      </c>
      <c r="AA120" s="16" t="str">
        <f>IF(INT(20.8431+0.242194*($C$1+1989-1980)-INT(($C$1+1989-1980)/4))=AA$114,"",LEFT(基本設定!H8,1))</f>
        <v>−</v>
      </c>
      <c r="AB120" s="16" t="str">
        <f>IF(INT(20.8431+0.242194*($C$1+1989-1980)-INT(($C$1+1989-1980)/4))=AB$114,"",LEFT(基本設定!I8,1))</f>
        <v>−</v>
      </c>
      <c r="AC120" s="18" t="str">
        <f t="shared" ref="AC120:AD121" si="285">IF(INT(20.8431+0.242194*($C$1+1989-1980)-INT(($C$1+1989-1980)/4))=AC$114,"","")</f>
        <v/>
      </c>
      <c r="AD120" s="18" t="str">
        <f t="shared" si="285"/>
        <v/>
      </c>
      <c r="AE120" s="16" t="str">
        <f>IF(AE$114&gt;=27,"",LEFT(基本設定!E8,1))</f>
        <v/>
      </c>
      <c r="AF120" s="16" t="str">
        <f>IF(AF$114&gt;=27,"",LEFT(基本設定!F8,1))</f>
        <v/>
      </c>
      <c r="AG120" s="16" t="str">
        <f>IF(AG$114="","",IF(AG$114&gt;=27,"",LEFT(基本設定!G8,1)))</f>
        <v/>
      </c>
      <c r="AH120" s="16" t="str">
        <f>IF(AH$114="","",IF(AH$114&gt;=27,"",LEFT(基本設定!H8,1)))</f>
        <v/>
      </c>
      <c r="AI120" s="16" t="str">
        <f>IF(AI$114="","",IF(AI$114&gt;=27,"",LEFT(基本設定!I8,1)))</f>
        <v/>
      </c>
      <c r="AJ120" s="18"/>
      <c r="AK120" s="18"/>
      <c r="AL120" s="16"/>
      <c r="AM120" s="16"/>
    </row>
    <row r="121" spans="2:39" x14ac:dyDescent="0.15">
      <c r="B121" s="5">
        <v>6</v>
      </c>
      <c r="C121" s="16" t="str">
        <f>IF(C$114="","",LEFT(基本設定!E9,1))</f>
        <v/>
      </c>
      <c r="D121" s="16" t="str">
        <f>IF(D$114="","",LEFT(基本設定!F9,1))</f>
        <v/>
      </c>
      <c r="E121" s="16" t="str">
        <f>IF(E$114="","",LEFT(基本設定!G9,1))</f>
        <v>−</v>
      </c>
      <c r="F121" s="16" t="str">
        <f>IF(F$114="","",LEFT(基本設定!H9,1))</f>
        <v>−</v>
      </c>
      <c r="G121" s="16" t="str">
        <f>IF(G$114="","",LEFT(基本設定!I9,1))</f>
        <v>−</v>
      </c>
      <c r="H121" s="18"/>
      <c r="I121" s="18"/>
      <c r="J121" s="16" t="str">
        <f>LEFT(基本設定!E9,1)</f>
        <v>−</v>
      </c>
      <c r="K121" s="16" t="str">
        <f>LEFT(基本設定!F9,1)</f>
        <v>−</v>
      </c>
      <c r="L121" s="16" t="str">
        <f>LEFT(基本設定!G9,1)</f>
        <v>−</v>
      </c>
      <c r="M121" s="16" t="str">
        <f>LEFT(基本設定!H9,1)</f>
        <v>−</v>
      </c>
      <c r="N121" s="16" t="str">
        <f>LEFT(基本設定!I9,1)</f>
        <v>−</v>
      </c>
      <c r="O121" s="18"/>
      <c r="P121" s="18"/>
      <c r="Q121" s="16" t="str">
        <f>LEFT(基本設定!E9,1)</f>
        <v>−</v>
      </c>
      <c r="R121" s="16" t="str">
        <f>LEFT(基本設定!F9,1)</f>
        <v>−</v>
      </c>
      <c r="S121" s="16" t="str">
        <f>LEFT(基本設定!G9,1)</f>
        <v>−</v>
      </c>
      <c r="T121" s="16" t="str">
        <f>LEFT(基本設定!H9,1)</f>
        <v>−</v>
      </c>
      <c r="U121" s="16" t="str">
        <f>LEFT(基本設定!I9,1)</f>
        <v>−</v>
      </c>
      <c r="V121" s="18" t="str">
        <f>IF(INT(20.8431+0.242194*($C$1+1989-1980)-INT(($C$1+1989-1980)/4))=V$114,"","")</f>
        <v/>
      </c>
      <c r="W121" s="18" t="str">
        <f>IF(INT(20.8431+0.242194*($C$1+1989-1980)-INT(($C$1+1989-1980)/4))=W$114,"","")</f>
        <v/>
      </c>
      <c r="X121" s="16" t="str">
        <f>IF(INT(20.8431+0.242194*($C$1+1989-1980)-INT(($C$1+1989-1980)/4))=X$114,"",IF(W$116="春","",LEFT(基本設定!E9,1)))</f>
        <v>−</v>
      </c>
      <c r="Y121" s="16" t="str">
        <f>IF(INT(20.8431+0.242194*($C$1+1989-1980)-INT(($C$1+1989-1980)/4))=Y$114,"",LEFT(基本設定!F9,1))</f>
        <v/>
      </c>
      <c r="Z121" s="16" t="str">
        <f>IF(INT(20.8431+0.242194*($C$1+1989-1980)-INT(($C$1+1989-1980)/4))=Z$114,"",LEFT(基本設定!G9,1))</f>
        <v>−</v>
      </c>
      <c r="AA121" s="16" t="str">
        <f>IF(INT(20.8431+0.242194*($C$1+1989-1980)-INT(($C$1+1989-1980)/4))=AA$114,"",LEFT(基本設定!H9,1))</f>
        <v>−</v>
      </c>
      <c r="AB121" s="16" t="str">
        <f>IF(INT(20.8431+0.242194*($C$1+1989-1980)-INT(($C$1+1989-1980)/4))=AB$114,"",LEFT(基本設定!I9,1))</f>
        <v>−</v>
      </c>
      <c r="AC121" s="18" t="str">
        <f t="shared" si="285"/>
        <v/>
      </c>
      <c r="AD121" s="18" t="str">
        <f t="shared" si="285"/>
        <v/>
      </c>
      <c r="AE121" s="16" t="str">
        <f>IF(AE$114&gt;=27,"",LEFT(基本設定!E9,1))</f>
        <v/>
      </c>
      <c r="AF121" s="16" t="str">
        <f>IF(AF$114&gt;=27,"",LEFT(基本設定!F9,1))</f>
        <v/>
      </c>
      <c r="AG121" s="16" t="str">
        <f>IF(AG$114="","",IF(AG$114&gt;=27,"",LEFT(基本設定!G9,1)))</f>
        <v/>
      </c>
      <c r="AH121" s="16" t="str">
        <f>IF(AH$114="","",IF(AH$114&gt;=27,"",LEFT(基本設定!H9,1)))</f>
        <v/>
      </c>
      <c r="AI121" s="16" t="str">
        <f>IF(AI$114="","",IF(AI$114&gt;=27,"",LEFT(基本設定!I9,1)))</f>
        <v/>
      </c>
      <c r="AJ121" s="18"/>
      <c r="AK121" s="18"/>
      <c r="AL121" s="16"/>
      <c r="AM121" s="16"/>
    </row>
  </sheetData>
  <sheetProtection sheet="1" objects="1" scenarios="1"/>
  <mergeCells count="2">
    <mergeCell ref="A1:B1"/>
    <mergeCell ref="D1:E1"/>
  </mergeCells>
  <phoneticPr fontId="1"/>
  <conditionalFormatting sqref="E14:K21">
    <cfRule type="expression" dxfId="45" priority="45">
      <formula>E$14=3</formula>
    </cfRule>
  </conditionalFormatting>
  <conditionalFormatting sqref="E17:E21">
    <cfRule type="expression" dxfId="44" priority="44">
      <formula>$E$14=3</formula>
    </cfRule>
  </conditionalFormatting>
  <conditionalFormatting sqref="F14:L21">
    <cfRule type="expression" dxfId="43" priority="43">
      <formula>F$14=4</formula>
    </cfRule>
  </conditionalFormatting>
  <conditionalFormatting sqref="G14:M21">
    <cfRule type="expression" dxfId="42" priority="42">
      <formula>G$14=5</formula>
    </cfRule>
  </conditionalFormatting>
  <conditionalFormatting sqref="J14:L21">
    <cfRule type="expression" dxfId="41" priority="41">
      <formula>J$14=6</formula>
    </cfRule>
  </conditionalFormatting>
  <conditionalFormatting sqref="AE4:AK11">
    <cfRule type="expression" dxfId="40" priority="40">
      <formula>AE$4=29</formula>
    </cfRule>
  </conditionalFormatting>
  <conditionalFormatting sqref="Q34:Q41">
    <cfRule type="expression" dxfId="39" priority="39">
      <formula>AND($Q$34&gt;=15,$Q$34&lt;=21)</formula>
    </cfRule>
  </conditionalFormatting>
  <conditionalFormatting sqref="X34:X41">
    <cfRule type="expression" dxfId="38" priority="38">
      <formula>AND($X$34&gt;=15,$X$34&lt;=21)</formula>
    </cfRule>
  </conditionalFormatting>
  <conditionalFormatting sqref="C4:AL11">
    <cfRule type="expression" dxfId="37" priority="37">
      <formula>C$4=""</formula>
    </cfRule>
  </conditionalFormatting>
  <conditionalFormatting sqref="C4:N11">
    <cfRule type="expression" dxfId="36" priority="36">
      <formula>AND(C$4&gt;=1,C$4&lt;=6)</formula>
    </cfRule>
  </conditionalFormatting>
  <conditionalFormatting sqref="C14:AM21">
    <cfRule type="expression" dxfId="35" priority="35">
      <formula>C$14=""</formula>
    </cfRule>
  </conditionalFormatting>
  <conditionalFormatting sqref="C24:AL31">
    <cfRule type="expression" dxfId="34" priority="34">
      <formula>C$24=""</formula>
    </cfRule>
  </conditionalFormatting>
  <conditionalFormatting sqref="C34:AM41">
    <cfRule type="expression" dxfId="33" priority="23">
      <formula>C$34=""</formula>
    </cfRule>
  </conditionalFormatting>
  <conditionalFormatting sqref="C44:AM51">
    <cfRule type="expression" dxfId="32" priority="32">
      <formula>C$44=""</formula>
    </cfRule>
  </conditionalFormatting>
  <conditionalFormatting sqref="C54:AL61">
    <cfRule type="expression" dxfId="31" priority="31">
      <formula>C$54=""</formula>
    </cfRule>
  </conditionalFormatting>
  <conditionalFormatting sqref="C64:AM71">
    <cfRule type="expression" dxfId="30" priority="30">
      <formula>C$64=""</formula>
    </cfRule>
  </conditionalFormatting>
  <conditionalFormatting sqref="C74:AL81">
    <cfRule type="expression" dxfId="29" priority="29">
      <formula>C$74=""</formula>
    </cfRule>
  </conditionalFormatting>
  <conditionalFormatting sqref="C84:AM91">
    <cfRule type="expression" dxfId="28" priority="9">
      <formula>C$84=""</formula>
    </cfRule>
  </conditionalFormatting>
  <conditionalFormatting sqref="C94:AM101">
    <cfRule type="expression" dxfId="27" priority="27">
      <formula>C$94=""</formula>
    </cfRule>
  </conditionalFormatting>
  <conditionalFormatting sqref="C104:AK111">
    <cfRule type="expression" dxfId="26" priority="26">
      <formula>C$104=""</formula>
    </cfRule>
  </conditionalFormatting>
  <conditionalFormatting sqref="C114:AM121">
    <cfRule type="expression" dxfId="25" priority="3">
      <formula>C$114=""</formula>
    </cfRule>
  </conditionalFormatting>
  <conditionalFormatting sqref="AL4:AL11">
    <cfRule type="expression" dxfId="24" priority="24">
      <formula>$AL$4=30</formula>
    </cfRule>
  </conditionalFormatting>
  <conditionalFormatting sqref="W34:AM41">
    <cfRule type="expression" dxfId="23" priority="33">
      <formula>W$34&gt;=21</formula>
    </cfRule>
  </conditionalFormatting>
  <conditionalFormatting sqref="C44:AH51">
    <cfRule type="expression" dxfId="22" priority="22">
      <formula>AND(C$44&gt;=1,C$44&lt;=26)</formula>
    </cfRule>
  </conditionalFormatting>
  <conditionalFormatting sqref="Q54:Q61">
    <cfRule type="expression" dxfId="21" priority="21">
      <formula>$Q$54=15</formula>
    </cfRule>
  </conditionalFormatting>
  <conditionalFormatting sqref="X54:X61">
    <cfRule type="expression" dxfId="20" priority="20">
      <formula>AND($X$54&gt;=15,$X$54&lt;=21)</formula>
    </cfRule>
  </conditionalFormatting>
  <conditionalFormatting sqref="Y54:AF61">
    <cfRule type="expression" dxfId="19" priority="19">
      <formula>Y$56="秋"</formula>
    </cfRule>
  </conditionalFormatting>
  <conditionalFormatting sqref="AE54:AE61">
    <cfRule type="expression" dxfId="18" priority="18">
      <formula>$AE$57="休"</formula>
    </cfRule>
  </conditionalFormatting>
  <conditionalFormatting sqref="Y54:Y61">
    <cfRule type="expression" dxfId="17" priority="17">
      <formula>$Y$57="休"</formula>
    </cfRule>
  </conditionalFormatting>
  <conditionalFormatting sqref="J64:J71">
    <cfRule type="expression" dxfId="16" priority="16">
      <formula>AND($J$64&gt;=8,$J$64&lt;=15)</formula>
    </cfRule>
  </conditionalFormatting>
  <conditionalFormatting sqref="Q64:Q71">
    <cfRule type="expression" dxfId="15" priority="15">
      <formula>AND($Q$64&gt;=8,$Q$64&lt;=14)</formula>
    </cfRule>
  </conditionalFormatting>
  <conditionalFormatting sqref="AD64:AJ71">
    <cfRule type="expression" dxfId="14" priority="14">
      <formula>AD$64=28</formula>
    </cfRule>
  </conditionalFormatting>
  <conditionalFormatting sqref="E74:K81">
    <cfRule type="expression" dxfId="13" priority="13">
      <formula>E$74=3</formula>
    </cfRule>
  </conditionalFormatting>
  <conditionalFormatting sqref="J74:J81">
    <cfRule type="expression" dxfId="12" priority="12">
      <formula>$J$74=4</formula>
    </cfRule>
  </conditionalFormatting>
  <conditionalFormatting sqref="Y74:AE81">
    <cfRule type="expression" dxfId="11" priority="11">
      <formula>Y$74=23</formula>
    </cfRule>
  </conditionalFormatting>
  <conditionalFormatting sqref="AE74:AE81">
    <cfRule type="expression" dxfId="10" priority="10">
      <formula>$AE$74=24</formula>
    </cfRule>
  </conditionalFormatting>
  <conditionalFormatting sqref="Y84:AM91">
    <cfRule type="expression" dxfId="9" priority="28">
      <formula>Y$84&gt;=23</formula>
    </cfRule>
  </conditionalFormatting>
  <conditionalFormatting sqref="C94:N101">
    <cfRule type="expression" dxfId="8" priority="8">
      <formula>C$94&lt;=6</formula>
    </cfRule>
  </conditionalFormatting>
  <conditionalFormatting sqref="J94:J101">
    <cfRule type="expression" dxfId="7" priority="7">
      <formula>$J$94=8</formula>
    </cfRule>
  </conditionalFormatting>
  <conditionalFormatting sqref="Q94:Q101">
    <cfRule type="expression" dxfId="6" priority="6">
      <formula>AND($Q$94&gt;=9,$Q$94&lt;=14)</formula>
    </cfRule>
  </conditionalFormatting>
  <conditionalFormatting sqref="M104:S111">
    <cfRule type="expression" dxfId="5" priority="5">
      <formula>M$104=11</formula>
    </cfRule>
  </conditionalFormatting>
  <conditionalFormatting sqref="Q104:Q111">
    <cfRule type="expression" dxfId="4" priority="4">
      <formula>$Q$104=12</formula>
    </cfRule>
  </conditionalFormatting>
  <conditionalFormatting sqref="AC114:AM121">
    <cfRule type="expression" dxfId="3" priority="25">
      <formula>AC$114&gt;=27</formula>
    </cfRule>
  </conditionalFormatting>
  <conditionalFormatting sqref="V114:AC121">
    <cfRule type="expression" dxfId="2" priority="2">
      <formula>V$116="春"</formula>
    </cfRule>
  </conditionalFormatting>
  <conditionalFormatting sqref="X114:X121">
    <cfRule type="expression" dxfId="1" priority="1">
      <formula>$X$117="休"</formula>
    </cfRule>
  </conditionalFormatting>
  <pageMargins left="0.7" right="0.7" top="0.75" bottom="0.75" header="0.3" footer="0.3"/>
  <pageSetup paperSize="9" orientation="portrait" horizontalDpi="4294967292" verticalDpi="4294967292" r:id="rId1"/>
  <ignoredErrors>
    <ignoredError sqref="C19:I19 C21:J21 C20:I20 K6:N11 C16:I16 M16:N16 C17:I17 M17:N17 C18:I18 M18:N18 M19:N19 M21:N21" emptyCellReference="1"/>
    <ignoredError sqref="AK7 AD67 H77:I77 C97 E97 D97 F97:I97 C99:I99 V117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C119"/>
  <sheetViews>
    <sheetView workbookViewId="0">
      <selection activeCell="O17" sqref="O17"/>
    </sheetView>
  </sheetViews>
  <sheetFormatPr defaultColWidth="13" defaultRowHeight="14.25" x14ac:dyDescent="0.15"/>
  <cols>
    <col min="1" max="1" width="5" bestFit="1" customWidth="1"/>
    <col min="2" max="2" width="5" style="15" bestFit="1" customWidth="1"/>
    <col min="3" max="14" width="5.5" bestFit="1" customWidth="1"/>
    <col min="15" max="16" width="7.5" bestFit="1" customWidth="1"/>
    <col min="17" max="21" width="5.5" bestFit="1" customWidth="1"/>
    <col min="22" max="22" width="7.5" bestFit="1" customWidth="1"/>
    <col min="23" max="23" width="7.5" customWidth="1"/>
    <col min="24" max="61" width="7.625" customWidth="1"/>
  </cols>
  <sheetData>
    <row r="1" spans="1:29" ht="24" x14ac:dyDescent="0.15">
      <c r="B1" s="40" t="s">
        <v>83</v>
      </c>
    </row>
    <row r="2" spans="1:29" x14ac:dyDescent="0.15">
      <c r="A2" s="56" t="s">
        <v>32</v>
      </c>
      <c r="B2" s="23"/>
      <c r="C2" s="59" t="s">
        <v>41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62" t="s">
        <v>51</v>
      </c>
      <c r="R2" s="62"/>
      <c r="S2" s="62"/>
      <c r="T2" s="62"/>
      <c r="U2" s="62"/>
      <c r="V2" s="62"/>
      <c r="W2" s="31"/>
      <c r="X2" s="53" t="s">
        <v>53</v>
      </c>
      <c r="Y2" s="54"/>
      <c r="Z2" s="54"/>
      <c r="AA2" s="54"/>
      <c r="AB2" s="55"/>
      <c r="AC2" s="34"/>
    </row>
    <row r="3" spans="1:29" s="15" customFormat="1" x14ac:dyDescent="0.15">
      <c r="A3" s="57"/>
      <c r="B3" s="23"/>
      <c r="C3" s="23" t="s">
        <v>8</v>
      </c>
      <c r="D3" s="23" t="s">
        <v>10</v>
      </c>
      <c r="E3" s="23" t="s">
        <v>11</v>
      </c>
      <c r="F3" s="23" t="s">
        <v>12</v>
      </c>
      <c r="G3" s="23" t="s">
        <v>13</v>
      </c>
      <c r="H3" s="23" t="s">
        <v>14</v>
      </c>
      <c r="I3" s="23" t="s">
        <v>15</v>
      </c>
      <c r="J3" s="24" t="s">
        <v>17</v>
      </c>
      <c r="K3" s="24" t="s">
        <v>16</v>
      </c>
      <c r="L3" s="24" t="s">
        <v>19</v>
      </c>
      <c r="M3" s="24" t="s">
        <v>20</v>
      </c>
      <c r="N3" s="24" t="s">
        <v>18</v>
      </c>
      <c r="O3" s="24" t="s">
        <v>34</v>
      </c>
      <c r="P3" s="27" t="s">
        <v>40</v>
      </c>
      <c r="Q3" s="23" t="s">
        <v>42</v>
      </c>
      <c r="R3" s="23" t="s">
        <v>43</v>
      </c>
      <c r="S3" s="23" t="s">
        <v>44</v>
      </c>
      <c r="T3" s="23" t="s">
        <v>45</v>
      </c>
      <c r="U3" s="23" t="s">
        <v>46</v>
      </c>
      <c r="V3" s="29" t="s">
        <v>52</v>
      </c>
      <c r="W3" s="31" t="s">
        <v>73</v>
      </c>
      <c r="X3" s="24" t="s">
        <v>21</v>
      </c>
      <c r="Y3" s="24" t="s">
        <v>69</v>
      </c>
      <c r="Z3" s="24" t="s">
        <v>70</v>
      </c>
      <c r="AA3" s="23" t="s">
        <v>53</v>
      </c>
      <c r="AB3" s="50" t="s">
        <v>109</v>
      </c>
      <c r="AC3" s="33" t="s">
        <v>50</v>
      </c>
    </row>
    <row r="4" spans="1:29" x14ac:dyDescent="0.15">
      <c r="A4" s="57"/>
      <c r="B4" s="23" t="s">
        <v>33</v>
      </c>
      <c r="C4" s="22">
        <f>COUNTIF(年間一覧表!$C$6:$I$11,LEFT(月別集計!C$3,1))</f>
        <v>0</v>
      </c>
      <c r="D4" s="22">
        <f>COUNTIF(年間一覧表!$C$6:$I$11,LEFT(月別集計!D$3,1))</f>
        <v>0</v>
      </c>
      <c r="E4" s="22">
        <f>COUNTIF(年間一覧表!$C$6:$I$11,LEFT(月別集計!E$3,1))</f>
        <v>0</v>
      </c>
      <c r="F4" s="22">
        <f>COUNTIF(年間一覧表!$C$6:$I$11,LEFT(月別集計!F$3,1))</f>
        <v>0</v>
      </c>
      <c r="G4" s="22">
        <f>COUNTIF(年間一覧表!$C$6:$I$11,LEFT(月別集計!G$3,1))</f>
        <v>0</v>
      </c>
      <c r="H4" s="22">
        <f>COUNTIF(年間一覧表!$C$6:$I$11,LEFT(月別集計!H$3,1))</f>
        <v>0</v>
      </c>
      <c r="I4" s="22">
        <f>COUNTIF(年間一覧表!$C$6:$I$11,LEFT(月別集計!I$3,1))</f>
        <v>0</v>
      </c>
      <c r="J4" s="22">
        <f>COUNTIF(年間一覧表!$C$6:$I$11,LEFT(月別集計!J$3,1))</f>
        <v>0</v>
      </c>
      <c r="K4" s="22">
        <f>COUNTIF(年間一覧表!$C$6:$I$11,LEFT(月別集計!K$3,1))</f>
        <v>0</v>
      </c>
      <c r="L4" s="22">
        <f>COUNTIF(年間一覧表!$C$6:$I$11,LEFT(月別集計!L$3,1))</f>
        <v>0</v>
      </c>
      <c r="M4" s="22">
        <f>COUNTIF(年間一覧表!$C$6:$I$11,LEFT(月別集計!M$3,1))</f>
        <v>0</v>
      </c>
      <c r="N4" s="22">
        <f>COUNTIF(年間一覧表!$C$6:$I$11,LEFT(月別集計!N$3,1))</f>
        <v>0</v>
      </c>
      <c r="O4" s="22">
        <f>COUNTIF(年間一覧表!$C$6:$I$11,LEFT(月別集計!O$3,1))</f>
        <v>0</v>
      </c>
      <c r="P4" s="28">
        <f>SUM(C4:O4)</f>
        <v>0</v>
      </c>
      <c r="Q4" s="22">
        <f>COUNTIF(年間一覧表!$C$6:$I$11,LEFT(月別集計!Q$3,1))</f>
        <v>0</v>
      </c>
      <c r="R4" s="22">
        <f>COUNTIF(年間一覧表!$C$6:$I$11,RIGHT(月別集計!R$3,1))</f>
        <v>0</v>
      </c>
      <c r="S4" s="22">
        <f>COUNTIF(年間一覧表!$C$6:$I$11,LEFT(月別集計!S$3,1))</f>
        <v>0</v>
      </c>
      <c r="T4" s="22">
        <f>COUNTIF(年間一覧表!$C$6:$I$11,LEFT(月別集計!T$3,1))</f>
        <v>0</v>
      </c>
      <c r="U4" s="22">
        <f>COUNTIF(年間一覧表!$C$6:$I$11,LEFT(月別集計!U$3,1))</f>
        <v>0</v>
      </c>
      <c r="V4" s="30">
        <f>SUM(Q4:U4)</f>
        <v>0</v>
      </c>
      <c r="W4" s="32">
        <f>P4+V4</f>
        <v>0</v>
      </c>
      <c r="X4" s="22">
        <f>COUNTIF(年間一覧表!$C$6:$I$11,LEFT(月別集計!X$3,1))</f>
        <v>0</v>
      </c>
      <c r="Y4" s="22">
        <f>COUNTIF(年間一覧表!$C$6:$I$11,LEFT(月別集計!Y$3,1))</f>
        <v>0</v>
      </c>
      <c r="Z4" s="22">
        <f>COUNTIF(年間一覧表!$C$6:$I$11,LEFT(月別集計!Z$3,1))</f>
        <v>0</v>
      </c>
      <c r="AA4" s="22">
        <f>COUNTIF(年間一覧表!$C$6:$I$11,LEFT(月別集計!AA$3,1))</f>
        <v>0</v>
      </c>
      <c r="AB4" s="22">
        <f>COUNTIF(年間一覧表!$C$6:$I$11,LEFT(月別集計!AB$3,1))</f>
        <v>0</v>
      </c>
      <c r="AC4" s="34">
        <f>SUM(W4:AB4)</f>
        <v>0</v>
      </c>
    </row>
    <row r="5" spans="1:29" x14ac:dyDescent="0.15">
      <c r="A5" s="57"/>
      <c r="B5" s="23" t="s">
        <v>35</v>
      </c>
      <c r="C5" s="22">
        <f>COUNTIF(年間一覧表!$J$6:$P$11,LEFT(月別集計!C$3,1))</f>
        <v>0</v>
      </c>
      <c r="D5" s="22">
        <f>COUNTIF(年間一覧表!$J$6:$P$11,LEFT(月別集計!D$3,1))</f>
        <v>0</v>
      </c>
      <c r="E5" s="22">
        <f>COUNTIF(年間一覧表!$J$6:$P$11,LEFT(月別集計!E$3,1))</f>
        <v>0</v>
      </c>
      <c r="F5" s="22">
        <f>COUNTIF(年間一覧表!$J$6:$P$11,LEFT(月別集計!F$3,1))</f>
        <v>0</v>
      </c>
      <c r="G5" s="22">
        <f>COUNTIF(年間一覧表!$J$6:$P$11,LEFT(月別集計!G$3,1))</f>
        <v>0</v>
      </c>
      <c r="H5" s="22">
        <f>COUNTIF(年間一覧表!$J$6:$P$11,LEFT(月別集計!H$3,1))</f>
        <v>0</v>
      </c>
      <c r="I5" s="22">
        <f>COUNTIF(年間一覧表!$J$6:$P$11,LEFT(月別集計!I$3,1))</f>
        <v>0</v>
      </c>
      <c r="J5" s="22">
        <f>COUNTIF(年間一覧表!$J$6:$P$11,LEFT(月別集計!J$3,1))</f>
        <v>0</v>
      </c>
      <c r="K5" s="22">
        <f>COUNTIF(年間一覧表!$J$6:$P$11,LEFT(月別集計!K$3,1))</f>
        <v>0</v>
      </c>
      <c r="L5" s="22">
        <f>COUNTIF(年間一覧表!$J$6:$P$11,LEFT(月別集計!L$3,1))</f>
        <v>0</v>
      </c>
      <c r="M5" s="22">
        <f>COUNTIF(年間一覧表!$J$6:$P$11,LEFT(月別集計!M$3,1))</f>
        <v>0</v>
      </c>
      <c r="N5" s="22">
        <f>COUNTIF(年間一覧表!$J$6:$P$11,LEFT(月別集計!N$3,1))</f>
        <v>0</v>
      </c>
      <c r="O5" s="22">
        <f>COUNTIF(年間一覧表!$J$6:$P$11,LEFT(月別集計!O$3,1))</f>
        <v>0</v>
      </c>
      <c r="P5" s="28">
        <f t="shared" ref="P5:P9" si="0">SUM(C5:O5)</f>
        <v>0</v>
      </c>
      <c r="Q5" s="22">
        <f>COUNTIF(年間一覧表!$J$6:$P$11,LEFT(月別集計!Q$3,1))</f>
        <v>0</v>
      </c>
      <c r="R5" s="22">
        <f>COUNTIF(年間一覧表!$J$6:$P$11,RIGHT(月別集計!R$3,1))</f>
        <v>0</v>
      </c>
      <c r="S5" s="22">
        <f>COUNTIF(年間一覧表!$J$6:$P$11,LEFT(月別集計!S$3,1))</f>
        <v>0</v>
      </c>
      <c r="T5" s="22">
        <f>COUNTIF(年間一覧表!$J$6:$P$11,LEFT(月別集計!T$3,1))</f>
        <v>0</v>
      </c>
      <c r="U5" s="22">
        <f>COUNTIF(年間一覧表!$J$6:$P$11,LEFT(月別集計!U$3,1))</f>
        <v>0</v>
      </c>
      <c r="V5" s="30">
        <f t="shared" ref="V5:V9" si="1">SUM(Q5:U5)</f>
        <v>0</v>
      </c>
      <c r="W5" s="32">
        <f t="shared" ref="W5:W9" si="2">P5+V5</f>
        <v>0</v>
      </c>
      <c r="X5" s="22">
        <f>COUNTIF(年間一覧表!$J$6:$P$11,LEFT(月別集計!X$3,1))</f>
        <v>0</v>
      </c>
      <c r="Y5" s="22">
        <f>COUNTIF(年間一覧表!$J$6:$P$11,LEFT(月別集計!Y$3,1))</f>
        <v>0</v>
      </c>
      <c r="Z5" s="22">
        <f>COUNTIF(年間一覧表!$J$6:$P$11,LEFT(月別集計!Z$3,1))</f>
        <v>0</v>
      </c>
      <c r="AA5" s="22">
        <f>COUNTIF(年間一覧表!$J$6:$P$11,LEFT(月別集計!AA$3,1))</f>
        <v>0</v>
      </c>
      <c r="AB5" s="22">
        <f>COUNTIF(年間一覧表!$J$6:$P$11,LEFT(月別集計!AB$3,1))</f>
        <v>0</v>
      </c>
      <c r="AC5" s="34">
        <f t="shared" ref="AC5:AC9" si="3">SUM(W5:AB5)</f>
        <v>0</v>
      </c>
    </row>
    <row r="6" spans="1:29" x14ac:dyDescent="0.15">
      <c r="A6" s="57"/>
      <c r="B6" s="23" t="s">
        <v>36</v>
      </c>
      <c r="C6" s="22">
        <f>COUNTIF(年間一覧表!$Q$6:$W$11,LEFT(月別集計!C$3,1))</f>
        <v>0</v>
      </c>
      <c r="D6" s="22">
        <f>COUNTIF(年間一覧表!$Q$6:$W$11,LEFT(月別集計!D$3,1))</f>
        <v>0</v>
      </c>
      <c r="E6" s="22">
        <f>COUNTIF(年間一覧表!$Q$6:$W$11,LEFT(月別集計!E$3,1))</f>
        <v>0</v>
      </c>
      <c r="F6" s="22">
        <f>COUNTIF(年間一覧表!$Q$6:$W$11,LEFT(月別集計!F$3,1))</f>
        <v>0</v>
      </c>
      <c r="G6" s="22">
        <f>COUNTIF(年間一覧表!$Q$6:$W$11,LEFT(月別集計!G$3,1))</f>
        <v>0</v>
      </c>
      <c r="H6" s="22">
        <f>COUNTIF(年間一覧表!$Q$6:$W$11,LEFT(月別集計!H$3,1))</f>
        <v>0</v>
      </c>
      <c r="I6" s="22">
        <f>COUNTIF(年間一覧表!$Q$6:$W$11,LEFT(月別集計!I$3,1))</f>
        <v>0</v>
      </c>
      <c r="J6" s="22">
        <f>COUNTIF(年間一覧表!$Q$6:$W$11,LEFT(月別集計!J$3,1))</f>
        <v>0</v>
      </c>
      <c r="K6" s="22">
        <f>COUNTIF(年間一覧表!$Q$6:$W$11,LEFT(月別集計!K$3,1))</f>
        <v>0</v>
      </c>
      <c r="L6" s="22">
        <f>COUNTIF(年間一覧表!$Q$6:$W$11,LEFT(月別集計!L$3,1))</f>
        <v>0</v>
      </c>
      <c r="M6" s="22">
        <f>COUNTIF(年間一覧表!$Q$6:$W$11,LEFT(月別集計!M$3,1))</f>
        <v>0</v>
      </c>
      <c r="N6" s="22">
        <f>COUNTIF(年間一覧表!$Q$6:$W$11,LEFT(月別集計!N$3,1))</f>
        <v>0</v>
      </c>
      <c r="O6" s="22">
        <f>COUNTIF(年間一覧表!$Q$6:$W$11,LEFT(月別集計!O$3,1))</f>
        <v>0</v>
      </c>
      <c r="P6" s="28">
        <f t="shared" si="0"/>
        <v>0</v>
      </c>
      <c r="Q6" s="22">
        <f>COUNTIF(年間一覧表!$Q$6:$W$11,LEFT(月別集計!Q$3,1))</f>
        <v>0</v>
      </c>
      <c r="R6" s="22">
        <f>COUNTIF(年間一覧表!$Q$6:$W$11,RIGHT(月別集計!R$3,1))</f>
        <v>0</v>
      </c>
      <c r="S6" s="22">
        <f>COUNTIF(年間一覧表!$Q$6:$W$11,LEFT(月別集計!S$3,1))</f>
        <v>0</v>
      </c>
      <c r="T6" s="22">
        <f>COUNTIF(年間一覧表!$Q$6:$W$11,LEFT(月別集計!T$3,1))</f>
        <v>0</v>
      </c>
      <c r="U6" s="22">
        <f>COUNTIF(年間一覧表!$Q$6:$W$11,LEFT(月別集計!U$3,1))</f>
        <v>0</v>
      </c>
      <c r="V6" s="30">
        <f t="shared" si="1"/>
        <v>0</v>
      </c>
      <c r="W6" s="32">
        <f t="shared" si="2"/>
        <v>0</v>
      </c>
      <c r="X6" s="22">
        <f>COUNTIF(年間一覧表!$Q$6:$W$11,LEFT(月別集計!X$3,1))</f>
        <v>0</v>
      </c>
      <c r="Y6" s="22">
        <f>COUNTIF(年間一覧表!$Q$6:$W$11,LEFT(月別集計!Y$3,1))</f>
        <v>0</v>
      </c>
      <c r="Z6" s="22">
        <f>COUNTIF(年間一覧表!$Q$6:$W$11,LEFT(月別集計!Z$3,1))</f>
        <v>0</v>
      </c>
      <c r="AA6" s="22">
        <f>COUNTIF(年間一覧表!$Q$6:$W$11,LEFT(月別集計!AA$3,1))</f>
        <v>0</v>
      </c>
      <c r="AB6" s="22">
        <f>COUNTIF(年間一覧表!$Q$6:$W$11,LEFT(月別集計!AB$3,1))</f>
        <v>0</v>
      </c>
      <c r="AC6" s="34">
        <f t="shared" si="3"/>
        <v>0</v>
      </c>
    </row>
    <row r="7" spans="1:29" x14ac:dyDescent="0.15">
      <c r="A7" s="57"/>
      <c r="B7" s="23" t="s">
        <v>37</v>
      </c>
      <c r="C7" s="22">
        <f>COUNTIF(年間一覧表!$X$6:$AD$11,LEFT(月別集計!C$3,1))</f>
        <v>0</v>
      </c>
      <c r="D7" s="22">
        <f>COUNTIF(年間一覧表!$X$6:$AD$11,LEFT(月別集計!D$3,1))</f>
        <v>0</v>
      </c>
      <c r="E7" s="22">
        <f>COUNTIF(年間一覧表!$X$6:$AD$11,LEFT(月別集計!E$3,1))</f>
        <v>0</v>
      </c>
      <c r="F7" s="22">
        <f>COUNTIF(年間一覧表!$X$6:$AD$11,LEFT(月別集計!F$3,1))</f>
        <v>0</v>
      </c>
      <c r="G7" s="22">
        <f>COUNTIF(年間一覧表!$X$6:$AD$11,LEFT(月別集計!G$3,1))</f>
        <v>0</v>
      </c>
      <c r="H7" s="22">
        <f>COUNTIF(年間一覧表!$X$6:$AD$11,LEFT(月別集計!H$3,1))</f>
        <v>0</v>
      </c>
      <c r="I7" s="22">
        <f>COUNTIF(年間一覧表!$X$6:$AD$11,LEFT(月別集計!I$3,1))</f>
        <v>0</v>
      </c>
      <c r="J7" s="22">
        <f>COUNTIF(年間一覧表!$X$6:$AD$11,LEFT(月別集計!J$3,1))</f>
        <v>0</v>
      </c>
      <c r="K7" s="22">
        <f>COUNTIF(年間一覧表!$X$6:$AD$11,LEFT(月別集計!K$3,1))</f>
        <v>0</v>
      </c>
      <c r="L7" s="22">
        <f>COUNTIF(年間一覧表!$X$6:$AD$11,LEFT(月別集計!L$3,1))</f>
        <v>0</v>
      </c>
      <c r="M7" s="22">
        <f>COUNTIF(年間一覧表!$X$6:$AD$11,LEFT(月別集計!M$3,1))</f>
        <v>0</v>
      </c>
      <c r="N7" s="22">
        <f>COUNTIF(年間一覧表!$X$6:$AD$11,LEFT(月別集計!N$3,1))</f>
        <v>0</v>
      </c>
      <c r="O7" s="22">
        <f>COUNTIF(年間一覧表!$X$6:$AD$11,LEFT(月別集計!O$3,1))</f>
        <v>0</v>
      </c>
      <c r="P7" s="28">
        <f t="shared" si="0"/>
        <v>0</v>
      </c>
      <c r="Q7" s="22">
        <f>COUNTIF(年間一覧表!$X$6:$AD$11,LEFT(月別集計!Q$3,1))</f>
        <v>0</v>
      </c>
      <c r="R7" s="22">
        <f>COUNTIF(年間一覧表!$X$6:$AD$11,RIGHT(月別集計!R$3,1))</f>
        <v>0</v>
      </c>
      <c r="S7" s="22">
        <f>COUNTIF(年間一覧表!$X$6:$AD$11,LEFT(月別集計!S$3,1))</f>
        <v>0</v>
      </c>
      <c r="T7" s="22">
        <f>COUNTIF(年間一覧表!$X$6:$AD$11,LEFT(月別集計!T$3,1))</f>
        <v>0</v>
      </c>
      <c r="U7" s="22">
        <f>COUNTIF(年間一覧表!$X$6:$AD$11,LEFT(月別集計!U$3,1))</f>
        <v>0</v>
      </c>
      <c r="V7" s="30">
        <f t="shared" si="1"/>
        <v>0</v>
      </c>
      <c r="W7" s="32">
        <f t="shared" si="2"/>
        <v>0</v>
      </c>
      <c r="X7" s="22">
        <f>COUNTIF(年間一覧表!$X$6:$AD$11,LEFT(月別集計!X$3,1))</f>
        <v>0</v>
      </c>
      <c r="Y7" s="22">
        <f>COUNTIF(年間一覧表!$X$6:$AD$11,LEFT(月別集計!Y$3,1))</f>
        <v>0</v>
      </c>
      <c r="Z7" s="22">
        <f>COUNTIF(年間一覧表!$X$6:$AD$11,LEFT(月別集計!Z$3,1))</f>
        <v>0</v>
      </c>
      <c r="AA7" s="22">
        <f>COUNTIF(年間一覧表!$X$6:$AD$11,LEFT(月別集計!AA$3,1))</f>
        <v>0</v>
      </c>
      <c r="AB7" s="22">
        <f>COUNTIF(年間一覧表!$X$6:$AD$11,LEFT(月別集計!AB$3,1))</f>
        <v>0</v>
      </c>
      <c r="AC7" s="34">
        <f t="shared" si="3"/>
        <v>0</v>
      </c>
    </row>
    <row r="8" spans="1:29" x14ac:dyDescent="0.15">
      <c r="A8" s="57"/>
      <c r="B8" s="23" t="s">
        <v>38</v>
      </c>
      <c r="C8" s="22">
        <f>COUNTIF(年間一覧表!$AE$6:$AK$11,LEFT(月別集計!C$3,1))</f>
        <v>0</v>
      </c>
      <c r="D8" s="22">
        <f>COUNTIF(年間一覧表!$AE$6:$AK$11,LEFT(月別集計!D$3,1))</f>
        <v>0</v>
      </c>
      <c r="E8" s="22">
        <f>COUNTIF(年間一覧表!$AE$6:$AK$11,LEFT(月別集計!E$3,1))</f>
        <v>0</v>
      </c>
      <c r="F8" s="22">
        <f>COUNTIF(年間一覧表!$AE$6:$AK$11,LEFT(月別集計!F$3,1))</f>
        <v>0</v>
      </c>
      <c r="G8" s="22">
        <f>COUNTIF(年間一覧表!$AE$6:$AK$11,LEFT(月別集計!G$3,1))</f>
        <v>0</v>
      </c>
      <c r="H8" s="22">
        <f>COUNTIF(年間一覧表!$AE$6:$AK$11,LEFT(月別集計!H$3,1))</f>
        <v>0</v>
      </c>
      <c r="I8" s="22">
        <f>COUNTIF(年間一覧表!$AE$6:$AK$11,LEFT(月別集計!I$3,1))</f>
        <v>0</v>
      </c>
      <c r="J8" s="22">
        <f>COUNTIF(年間一覧表!$AE$6:$AK$11,LEFT(月別集計!J$3,1))</f>
        <v>0</v>
      </c>
      <c r="K8" s="22">
        <f>COUNTIF(年間一覧表!$AE$6:$AK$11,LEFT(月別集計!K$3,1))</f>
        <v>0</v>
      </c>
      <c r="L8" s="22">
        <f>COUNTIF(年間一覧表!$AE$6:$AK$11,LEFT(月別集計!L$3,1))</f>
        <v>0</v>
      </c>
      <c r="M8" s="22">
        <f>COUNTIF(年間一覧表!$AE$6:$AK$11,LEFT(月別集計!M$3,1))</f>
        <v>0</v>
      </c>
      <c r="N8" s="22">
        <f>COUNTIF(年間一覧表!$AE$6:$AK$11,LEFT(月別集計!N$3,1))</f>
        <v>0</v>
      </c>
      <c r="O8" s="22">
        <f>COUNTIF(年間一覧表!$AE$6:$AK$11,LEFT(月別集計!O$3,1))</f>
        <v>0</v>
      </c>
      <c r="P8" s="28">
        <f t="shared" si="0"/>
        <v>0</v>
      </c>
      <c r="Q8" s="22">
        <f>COUNTIF(年間一覧表!$AE$6:$AK$11,LEFT(月別集計!Q$3,1))</f>
        <v>0</v>
      </c>
      <c r="R8" s="22">
        <f>COUNTIF(年間一覧表!$AE$6:$AK$11,RIGHT(月別集計!R$3,1))</f>
        <v>0</v>
      </c>
      <c r="S8" s="22">
        <f>COUNTIF(年間一覧表!$AE$6:$AK$11,LEFT(月別集計!S$3,1))</f>
        <v>0</v>
      </c>
      <c r="T8" s="22">
        <f>COUNTIF(年間一覧表!$AE$6:$AK$11,LEFT(月別集計!T$3,1))</f>
        <v>0</v>
      </c>
      <c r="U8" s="22">
        <f>COUNTIF(年間一覧表!$AE$6:$AK$11,LEFT(月別集計!U$3,1))</f>
        <v>0</v>
      </c>
      <c r="V8" s="30">
        <f t="shared" si="1"/>
        <v>0</v>
      </c>
      <c r="W8" s="32">
        <f t="shared" si="2"/>
        <v>0</v>
      </c>
      <c r="X8" s="22">
        <f>COUNTIF(年間一覧表!$AE$6:$AK$11,LEFT(月別集計!X$3,1))</f>
        <v>0</v>
      </c>
      <c r="Y8" s="22">
        <f>COUNTIF(年間一覧表!$AE$6:$AK$11,LEFT(月別集計!Y$3,1))</f>
        <v>0</v>
      </c>
      <c r="Z8" s="22">
        <f>COUNTIF(年間一覧表!$AE$6:$AK$11,LEFT(月別集計!Z$3,1))</f>
        <v>0</v>
      </c>
      <c r="AA8" s="22">
        <f>COUNTIF(年間一覧表!$AE$6:$AK$11,LEFT(月別集計!AA$3,1))</f>
        <v>0</v>
      </c>
      <c r="AB8" s="22">
        <f>COUNTIF(年間一覧表!$AE$6:$AK$11,LEFT(月別集計!AB$3,1))</f>
        <v>0</v>
      </c>
      <c r="AC8" s="34">
        <f t="shared" si="3"/>
        <v>0</v>
      </c>
    </row>
    <row r="9" spans="1:29" x14ac:dyDescent="0.15">
      <c r="A9" s="57"/>
      <c r="B9" s="23" t="s">
        <v>39</v>
      </c>
      <c r="C9" s="22">
        <f>COUNTIF(年間一覧表!$AL$6:$AL$11,LEFT(月別集計!C$3,1))</f>
        <v>0</v>
      </c>
      <c r="D9" s="22">
        <f>COUNTIF(年間一覧表!$AL$6:$AL$11,LEFT(月別集計!D$3,1))</f>
        <v>0</v>
      </c>
      <c r="E9" s="22">
        <f>COUNTIF(年間一覧表!$AL$6:$AL$11,LEFT(月別集計!E$3,1))</f>
        <v>0</v>
      </c>
      <c r="F9" s="22">
        <f>COUNTIF(年間一覧表!$AL$6:$AL$11,LEFT(月別集計!F$3,1))</f>
        <v>0</v>
      </c>
      <c r="G9" s="22">
        <f>COUNTIF(年間一覧表!$AL$6:$AL$11,LEFT(月別集計!G$3,1))</f>
        <v>0</v>
      </c>
      <c r="H9" s="22">
        <f>COUNTIF(年間一覧表!$AL$6:$AL$11,LEFT(月別集計!H$3,1))</f>
        <v>0</v>
      </c>
      <c r="I9" s="22">
        <f>COUNTIF(年間一覧表!$AL$6:$AL$11,LEFT(月別集計!I$3,1))</f>
        <v>0</v>
      </c>
      <c r="J9" s="22">
        <f>COUNTIF(年間一覧表!$AL$6:$AL$11,LEFT(月別集計!J$3,1))</f>
        <v>0</v>
      </c>
      <c r="K9" s="22">
        <f>COUNTIF(年間一覧表!$AL$6:$AL$11,LEFT(月別集計!K$3,1))</f>
        <v>0</v>
      </c>
      <c r="L9" s="22">
        <f>COUNTIF(年間一覧表!$AL$6:$AL$11,LEFT(月別集計!L$3,1))</f>
        <v>0</v>
      </c>
      <c r="M9" s="22">
        <f>COUNTIF(年間一覧表!$AL$6:$AL$11,LEFT(月別集計!M$3,1))</f>
        <v>0</v>
      </c>
      <c r="N9" s="22">
        <f>COUNTIF(年間一覧表!$AL$6:$AL$11,LEFT(月別集計!N$3,1))</f>
        <v>0</v>
      </c>
      <c r="O9" s="22">
        <f>COUNTIF(年間一覧表!$AL$6:$AL$11,LEFT(月別集計!O$3,1))</f>
        <v>0</v>
      </c>
      <c r="P9" s="28">
        <f t="shared" si="0"/>
        <v>0</v>
      </c>
      <c r="Q9" s="22">
        <f>COUNTIF(年間一覧表!$AL$6:$AL$11,LEFT(月別集計!Q$3,1))</f>
        <v>0</v>
      </c>
      <c r="R9" s="22">
        <f>COUNTIF(年間一覧表!$AL$6:$AL$11,RIGHT(月別集計!R$3,1))</f>
        <v>0</v>
      </c>
      <c r="S9" s="22">
        <f>COUNTIF(年間一覧表!$AL$6:$AL$11,LEFT(月別集計!S$3,1))</f>
        <v>0</v>
      </c>
      <c r="T9" s="22">
        <f>COUNTIF(年間一覧表!$AL$6:$AL$11,LEFT(月別集計!T$3,1))</f>
        <v>0</v>
      </c>
      <c r="U9" s="22">
        <f>COUNTIF(年間一覧表!$AL$6:$AL$11,LEFT(月別集計!U$3,1))</f>
        <v>0</v>
      </c>
      <c r="V9" s="30">
        <f t="shared" si="1"/>
        <v>0</v>
      </c>
      <c r="W9" s="32">
        <f t="shared" si="2"/>
        <v>0</v>
      </c>
      <c r="X9" s="22">
        <f>COUNTIF(年間一覧表!$AL$6:$AL$11,LEFT(月別集計!X$3,1))</f>
        <v>0</v>
      </c>
      <c r="Y9" s="22">
        <f>COUNTIF(年間一覧表!$AL$6:$AL$11,LEFT(月別集計!Y$3,1))</f>
        <v>0</v>
      </c>
      <c r="Z9" s="22">
        <f>COUNTIF(年間一覧表!$AL$6:$AL$11,LEFT(月別集計!Z$3,1))</f>
        <v>0</v>
      </c>
      <c r="AA9" s="22">
        <f>COUNTIF(年間一覧表!$AL$6:$AL$11,LEFT(月別集計!AA$3,1))</f>
        <v>0</v>
      </c>
      <c r="AB9" s="22">
        <f>COUNTIF(年間一覧表!$AL$6:$AL$11,LEFT(月別集計!AB$3,1))</f>
        <v>0</v>
      </c>
      <c r="AC9" s="34">
        <f t="shared" si="3"/>
        <v>0</v>
      </c>
    </row>
    <row r="10" spans="1:29" x14ac:dyDescent="0.15">
      <c r="A10" s="58"/>
      <c r="B10" s="23" t="s">
        <v>40</v>
      </c>
      <c r="C10" s="26">
        <f>SUM(C4:C9)</f>
        <v>0</v>
      </c>
      <c r="D10" s="26">
        <f t="shared" ref="D10:P10" si="4">SUM(D4:D9)</f>
        <v>0</v>
      </c>
      <c r="E10" s="26">
        <f t="shared" si="4"/>
        <v>0</v>
      </c>
      <c r="F10" s="26">
        <f t="shared" si="4"/>
        <v>0</v>
      </c>
      <c r="G10" s="26">
        <f t="shared" si="4"/>
        <v>0</v>
      </c>
      <c r="H10" s="26">
        <f t="shared" si="4"/>
        <v>0</v>
      </c>
      <c r="I10" s="26">
        <f t="shared" si="4"/>
        <v>0</v>
      </c>
      <c r="J10" s="26">
        <f t="shared" si="4"/>
        <v>0</v>
      </c>
      <c r="K10" s="26">
        <f t="shared" si="4"/>
        <v>0</v>
      </c>
      <c r="L10" s="26">
        <f t="shared" si="4"/>
        <v>0</v>
      </c>
      <c r="M10" s="26">
        <f t="shared" si="4"/>
        <v>0</v>
      </c>
      <c r="N10" s="26">
        <f t="shared" si="4"/>
        <v>0</v>
      </c>
      <c r="O10" s="26">
        <f t="shared" si="4"/>
        <v>0</v>
      </c>
      <c r="P10" s="28">
        <f t="shared" si="4"/>
        <v>0</v>
      </c>
      <c r="Q10" s="26">
        <f t="shared" ref="Q10:W10" si="5">SUM(Q4:Q9)</f>
        <v>0</v>
      </c>
      <c r="R10" s="26">
        <f t="shared" si="5"/>
        <v>0</v>
      </c>
      <c r="S10" s="26">
        <f t="shared" si="5"/>
        <v>0</v>
      </c>
      <c r="T10" s="26">
        <f t="shared" si="5"/>
        <v>0</v>
      </c>
      <c r="U10" s="26">
        <f t="shared" si="5"/>
        <v>0</v>
      </c>
      <c r="V10" s="30">
        <f t="shared" si="5"/>
        <v>0</v>
      </c>
      <c r="W10" s="32">
        <f t="shared" si="5"/>
        <v>0</v>
      </c>
      <c r="X10" s="26">
        <f t="shared" ref="X10:AC10" si="6">SUM(X4:X9)</f>
        <v>0</v>
      </c>
      <c r="Y10" s="26">
        <f t="shared" si="6"/>
        <v>0</v>
      </c>
      <c r="Z10" s="26">
        <f t="shared" si="6"/>
        <v>0</v>
      </c>
      <c r="AA10" s="26">
        <f t="shared" si="6"/>
        <v>0</v>
      </c>
      <c r="AB10" s="26">
        <f t="shared" si="6"/>
        <v>0</v>
      </c>
      <c r="AC10" s="34">
        <f t="shared" si="6"/>
        <v>0</v>
      </c>
    </row>
    <row r="12" spans="1:29" x14ac:dyDescent="0.15">
      <c r="A12" s="56" t="s">
        <v>62</v>
      </c>
      <c r="B12" s="24"/>
      <c r="C12" s="59" t="s">
        <v>41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  <c r="Q12" s="62" t="s">
        <v>51</v>
      </c>
      <c r="R12" s="62"/>
      <c r="S12" s="62"/>
      <c r="T12" s="62"/>
      <c r="U12" s="62"/>
      <c r="V12" s="62"/>
      <c r="W12" s="31"/>
      <c r="X12" s="53" t="s">
        <v>53</v>
      </c>
      <c r="Y12" s="54"/>
      <c r="Z12" s="54"/>
      <c r="AA12" s="54"/>
      <c r="AB12" s="55"/>
      <c r="AC12" s="34"/>
    </row>
    <row r="13" spans="1:29" s="15" customFormat="1" x14ac:dyDescent="0.15">
      <c r="A13" s="57"/>
      <c r="B13" s="24"/>
      <c r="C13" s="24" t="s">
        <v>8</v>
      </c>
      <c r="D13" s="24" t="s">
        <v>10</v>
      </c>
      <c r="E13" s="24" t="s">
        <v>11</v>
      </c>
      <c r="F13" s="24" t="s">
        <v>12</v>
      </c>
      <c r="G13" s="24" t="s">
        <v>13</v>
      </c>
      <c r="H13" s="24" t="s">
        <v>14</v>
      </c>
      <c r="I13" s="24" t="s">
        <v>15</v>
      </c>
      <c r="J13" s="24" t="s">
        <v>17</v>
      </c>
      <c r="K13" s="24" t="s">
        <v>16</v>
      </c>
      <c r="L13" s="24" t="s">
        <v>19</v>
      </c>
      <c r="M13" s="24" t="s">
        <v>20</v>
      </c>
      <c r="N13" s="24" t="s">
        <v>18</v>
      </c>
      <c r="O13" s="24" t="s">
        <v>34</v>
      </c>
      <c r="P13" s="27" t="s">
        <v>40</v>
      </c>
      <c r="Q13" s="24" t="s">
        <v>42</v>
      </c>
      <c r="R13" s="24" t="s">
        <v>43</v>
      </c>
      <c r="S13" s="24" t="s">
        <v>44</v>
      </c>
      <c r="T13" s="24" t="s">
        <v>45</v>
      </c>
      <c r="U13" s="24" t="s">
        <v>46</v>
      </c>
      <c r="V13" s="29" t="s">
        <v>52</v>
      </c>
      <c r="W13" s="31" t="s">
        <v>73</v>
      </c>
      <c r="X13" s="24" t="s">
        <v>21</v>
      </c>
      <c r="Y13" s="24" t="s">
        <v>69</v>
      </c>
      <c r="Z13" s="24" t="s">
        <v>70</v>
      </c>
      <c r="AA13" s="24" t="s">
        <v>53</v>
      </c>
      <c r="AB13" s="50" t="s">
        <v>109</v>
      </c>
      <c r="AC13" s="33" t="s">
        <v>50</v>
      </c>
    </row>
    <row r="14" spans="1:29" x14ac:dyDescent="0.15">
      <c r="A14" s="57"/>
      <c r="B14" s="24" t="s">
        <v>33</v>
      </c>
      <c r="C14" s="22">
        <f>COUNTIF(年間一覧表!$C$16:$I$21,LEFT(月別集計!C$13,1))</f>
        <v>0</v>
      </c>
      <c r="D14" s="22">
        <f>COUNTIF(年間一覧表!$C$16:$I$21,LEFT(月別集計!D$13,1))</f>
        <v>0</v>
      </c>
      <c r="E14" s="22">
        <f>COUNTIF(年間一覧表!$C$16:$I$21,LEFT(月別集計!E$13,1))</f>
        <v>0</v>
      </c>
      <c r="F14" s="22">
        <f>COUNTIF(年間一覧表!$C$16:$I$21,LEFT(月別集計!F$13,1))</f>
        <v>0</v>
      </c>
      <c r="G14" s="22">
        <f>COUNTIF(年間一覧表!$C$16:$I$21,LEFT(月別集計!G$13,1))</f>
        <v>0</v>
      </c>
      <c r="H14" s="22">
        <f>COUNTIF(年間一覧表!$C$16:$I$21,LEFT(月別集計!H$13,1))</f>
        <v>0</v>
      </c>
      <c r="I14" s="22">
        <f>COUNTIF(年間一覧表!$C$16:$I$21,LEFT(月別集計!I$13,1))</f>
        <v>0</v>
      </c>
      <c r="J14" s="22">
        <f>COUNTIF(年間一覧表!$C$16:$I$21,LEFT(月別集計!J$13,1))</f>
        <v>0</v>
      </c>
      <c r="K14" s="22">
        <f>COUNTIF(年間一覧表!$C$16:$I$21,LEFT(月別集計!K$13,1))</f>
        <v>0</v>
      </c>
      <c r="L14" s="22">
        <f>COUNTIF(年間一覧表!$C$16:$I$21,LEFT(月別集計!L$13,1))</f>
        <v>0</v>
      </c>
      <c r="M14" s="22">
        <f>COUNTIF(年間一覧表!$C$16:$I$21,LEFT(月別集計!M$13,1))</f>
        <v>0</v>
      </c>
      <c r="N14" s="22">
        <f>COUNTIF(年間一覧表!$C$16:$I$21,LEFT(月別集計!N$13,1))</f>
        <v>0</v>
      </c>
      <c r="O14" s="22">
        <f>COUNTIF(年間一覧表!$C$16:$I$21,LEFT(月別集計!O$13,1))</f>
        <v>0</v>
      </c>
      <c r="P14" s="28">
        <f>SUM(C14:O14)</f>
        <v>0</v>
      </c>
      <c r="Q14" s="22">
        <f>COUNTIF(年間一覧表!$C$16:$I$21,LEFT(月別集計!Q$13,1))</f>
        <v>0</v>
      </c>
      <c r="R14" s="22">
        <f>COUNTIF(年間一覧表!$C$16:$I$21,RIGHT(月別集計!R$13,1))</f>
        <v>0</v>
      </c>
      <c r="S14" s="22">
        <f>COUNTIF(年間一覧表!$C$16:$I$21,LEFT(月別集計!S$13,1))</f>
        <v>0</v>
      </c>
      <c r="T14" s="22">
        <f>COUNTIF(年間一覧表!$C$16:$I$21,LEFT(月別集計!T$13,1))</f>
        <v>0</v>
      </c>
      <c r="U14" s="22">
        <f>COUNTIF(年間一覧表!$C$16:$I$21,LEFT(月別集計!U$13,1))</f>
        <v>0</v>
      </c>
      <c r="V14" s="30">
        <f>SUM(Q14:U14)</f>
        <v>0</v>
      </c>
      <c r="W14" s="32">
        <f>P14+V14</f>
        <v>0</v>
      </c>
      <c r="X14" s="22">
        <f>COUNTIF(年間一覧表!$C$16:$I$21,LEFT(月別集計!X$13,1))</f>
        <v>0</v>
      </c>
      <c r="Y14" s="22">
        <f>COUNTIF(年間一覧表!$C$16:$I$21,LEFT(月別集計!Y$13,1))</f>
        <v>0</v>
      </c>
      <c r="Z14" s="22">
        <f>COUNTIF(年間一覧表!$C$16:$I$21,LEFT(月別集計!Z$13,1))</f>
        <v>0</v>
      </c>
      <c r="AA14" s="22">
        <f>COUNTIF(年間一覧表!$C$16:$I$21,LEFT(月別集計!AA$13,1))</f>
        <v>0</v>
      </c>
      <c r="AB14" s="22">
        <f>COUNTIF(年間一覧表!$C$16:$I$21,LEFT(月別集計!AB$13,1))</f>
        <v>0</v>
      </c>
      <c r="AC14" s="34">
        <f>SUM(W14:AB14)</f>
        <v>0</v>
      </c>
    </row>
    <row r="15" spans="1:29" x14ac:dyDescent="0.15">
      <c r="A15" s="57"/>
      <c r="B15" s="24" t="s">
        <v>35</v>
      </c>
      <c r="C15" s="22">
        <f>COUNTIF(年間一覧表!$J$16:$P$21,LEFT(月別集計!C$13,1))</f>
        <v>0</v>
      </c>
      <c r="D15" s="22">
        <f>COUNTIF(年間一覧表!$J$16:$P$21,LEFT(月別集計!D$13,1))</f>
        <v>0</v>
      </c>
      <c r="E15" s="22">
        <f>COUNTIF(年間一覧表!$J$16:$P$21,LEFT(月別集計!E$13,1))</f>
        <v>0</v>
      </c>
      <c r="F15" s="22">
        <f>COUNTIF(年間一覧表!$J$16:$P$21,LEFT(月別集計!F$13,1))</f>
        <v>0</v>
      </c>
      <c r="G15" s="22">
        <f>COUNTIF(年間一覧表!$J$16:$P$21,LEFT(月別集計!G$13,1))</f>
        <v>0</v>
      </c>
      <c r="H15" s="22">
        <f>COUNTIF(年間一覧表!$J$16:$P$21,LEFT(月別集計!H$13,1))</f>
        <v>0</v>
      </c>
      <c r="I15" s="22">
        <f>COUNTIF(年間一覧表!$J$16:$P$21,LEFT(月別集計!I$13,1))</f>
        <v>0</v>
      </c>
      <c r="J15" s="22">
        <f>COUNTIF(年間一覧表!$J$16:$P$21,LEFT(月別集計!J$13,1))</f>
        <v>0</v>
      </c>
      <c r="K15" s="22">
        <f>COUNTIF(年間一覧表!$J$16:$P$21,LEFT(月別集計!K$13,1))</f>
        <v>0</v>
      </c>
      <c r="L15" s="22">
        <f>COUNTIF(年間一覧表!$J$16:$P$21,LEFT(月別集計!L$13,1))</f>
        <v>0</v>
      </c>
      <c r="M15" s="22">
        <f>COUNTIF(年間一覧表!$J$16:$P$21,LEFT(月別集計!M$13,1))</f>
        <v>0</v>
      </c>
      <c r="N15" s="22">
        <f>COUNTIF(年間一覧表!$J$16:$P$21,LEFT(月別集計!N$13,1))</f>
        <v>0</v>
      </c>
      <c r="O15" s="22">
        <f>COUNTIF(年間一覧表!$J$16:$P$21,LEFT(月別集計!O$13,1))</f>
        <v>0</v>
      </c>
      <c r="P15" s="28">
        <f t="shared" ref="P15:P19" si="7">SUM(C15:O15)</f>
        <v>0</v>
      </c>
      <c r="Q15" s="22">
        <f>COUNTIF(年間一覧表!$J$16:$P$21,LEFT(月別集計!Q$13,1))</f>
        <v>0</v>
      </c>
      <c r="R15" s="22">
        <f>COUNTIF(年間一覧表!$J$16:$P$21,RIGHT(月別集計!R$13,1))</f>
        <v>0</v>
      </c>
      <c r="S15" s="22">
        <f>COUNTIF(年間一覧表!$J$16:$P$21,LEFT(月別集計!S$13,1))</f>
        <v>0</v>
      </c>
      <c r="T15" s="22">
        <f>COUNTIF(年間一覧表!$J$16:$P$21,LEFT(月別集計!T$13,1))</f>
        <v>0</v>
      </c>
      <c r="U15" s="22">
        <f>COUNTIF(年間一覧表!$J$16:$P$21,LEFT(月別集計!U$13,1))</f>
        <v>0</v>
      </c>
      <c r="V15" s="30">
        <f t="shared" ref="V15:V19" si="8">SUM(Q15:U15)</f>
        <v>0</v>
      </c>
      <c r="W15" s="32">
        <f t="shared" ref="W15:W19" si="9">P15+V15</f>
        <v>0</v>
      </c>
      <c r="X15" s="22">
        <f>COUNTIF(年間一覧表!$J$16:$P$21,LEFT(月別集計!X$13,1))</f>
        <v>0</v>
      </c>
      <c r="Y15" s="22">
        <f>COUNTIF(年間一覧表!$J$16:$P$21,LEFT(月別集計!Y$13,1))</f>
        <v>0</v>
      </c>
      <c r="Z15" s="22">
        <f>COUNTIF(年間一覧表!$J$16:$P$21,LEFT(月別集計!Z$13,1))</f>
        <v>0</v>
      </c>
      <c r="AA15" s="22">
        <f>COUNTIF(年間一覧表!$J$16:$P$21,LEFT(月別集計!AA$13,1))</f>
        <v>0</v>
      </c>
      <c r="AB15" s="22">
        <f>COUNTIF(年間一覧表!$J$16:$P$21,LEFT(月別集計!AB$13,1))</f>
        <v>0</v>
      </c>
      <c r="AC15" s="34">
        <f t="shared" ref="AC15:AC19" si="10">SUM(W15:AB15)</f>
        <v>0</v>
      </c>
    </row>
    <row r="16" spans="1:29" x14ac:dyDescent="0.15">
      <c r="A16" s="57"/>
      <c r="B16" s="24" t="s">
        <v>36</v>
      </c>
      <c r="C16" s="22">
        <f>COUNTIF(年間一覧表!$Q$16:$W$21,LEFT(月別集計!C$13,1))</f>
        <v>0</v>
      </c>
      <c r="D16" s="22">
        <f>COUNTIF(年間一覧表!$Q$16:$W$21,LEFT(月別集計!D$13,1))</f>
        <v>0</v>
      </c>
      <c r="E16" s="22">
        <f>COUNTIF(年間一覧表!$Q$16:$W$21,LEFT(月別集計!E$13,1))</f>
        <v>0</v>
      </c>
      <c r="F16" s="22">
        <f>COUNTIF(年間一覧表!$Q$16:$W$21,LEFT(月別集計!F$13,1))</f>
        <v>0</v>
      </c>
      <c r="G16" s="22">
        <f>COUNTIF(年間一覧表!$Q$16:$W$21,LEFT(月別集計!G$13,1))</f>
        <v>0</v>
      </c>
      <c r="H16" s="22">
        <f>COUNTIF(年間一覧表!$Q$16:$W$21,LEFT(月別集計!H$13,1))</f>
        <v>0</v>
      </c>
      <c r="I16" s="22">
        <f>COUNTIF(年間一覧表!$Q$16:$W$21,LEFT(月別集計!I$13,1))</f>
        <v>0</v>
      </c>
      <c r="J16" s="22">
        <f>COUNTIF(年間一覧表!$Q$16:$W$21,LEFT(月別集計!J$13,1))</f>
        <v>0</v>
      </c>
      <c r="K16" s="22">
        <f>COUNTIF(年間一覧表!$Q$16:$W$21,LEFT(月別集計!K$13,1))</f>
        <v>0</v>
      </c>
      <c r="L16" s="22">
        <f>COUNTIF(年間一覧表!$Q$16:$W$21,LEFT(月別集計!L$13,1))</f>
        <v>0</v>
      </c>
      <c r="M16" s="22">
        <f>COUNTIF(年間一覧表!$Q$16:$W$21,LEFT(月別集計!M$13,1))</f>
        <v>0</v>
      </c>
      <c r="N16" s="22">
        <f>COUNTIF(年間一覧表!$Q$16:$W$21,LEFT(月別集計!N$13,1))</f>
        <v>0</v>
      </c>
      <c r="O16" s="22">
        <f>COUNTIF(年間一覧表!$Q$16:$W$21,LEFT(月別集計!O$13,1))</f>
        <v>0</v>
      </c>
      <c r="P16" s="28">
        <f t="shared" si="7"/>
        <v>0</v>
      </c>
      <c r="Q16" s="22">
        <f>COUNTIF(年間一覧表!$Q$16:$W$21,LEFT(月別集計!Q$13,1))</f>
        <v>0</v>
      </c>
      <c r="R16" s="22">
        <f>COUNTIF(年間一覧表!$Q$16:$W$21,RIGHT(月別集計!R$13,1))</f>
        <v>0</v>
      </c>
      <c r="S16" s="22">
        <f>COUNTIF(年間一覧表!$Q$16:$W$21,LEFT(月別集計!S$13,1))</f>
        <v>0</v>
      </c>
      <c r="T16" s="22">
        <f>COUNTIF(年間一覧表!$Q$16:$W$21,LEFT(月別集計!T$13,1))</f>
        <v>0</v>
      </c>
      <c r="U16" s="22">
        <f>COUNTIF(年間一覧表!$Q$16:$W$21,LEFT(月別集計!U$13,1))</f>
        <v>0</v>
      </c>
      <c r="V16" s="30">
        <f t="shared" si="8"/>
        <v>0</v>
      </c>
      <c r="W16" s="32">
        <f t="shared" si="9"/>
        <v>0</v>
      </c>
      <c r="X16" s="22">
        <f>COUNTIF(年間一覧表!$Q$16:$W$21,LEFT(月別集計!X$13,1))</f>
        <v>0</v>
      </c>
      <c r="Y16" s="22">
        <f>COUNTIF(年間一覧表!$Q$16:$W$21,LEFT(月別集計!Y$13,1))</f>
        <v>0</v>
      </c>
      <c r="Z16" s="22">
        <f>COUNTIF(年間一覧表!$Q$16:$W$21,LEFT(月別集計!Z$13,1))</f>
        <v>0</v>
      </c>
      <c r="AA16" s="22">
        <f>COUNTIF(年間一覧表!$Q$16:$W$21,LEFT(月別集計!AA$13,1))</f>
        <v>0</v>
      </c>
      <c r="AB16" s="22">
        <f>COUNTIF(年間一覧表!$Q$16:$W$21,LEFT(月別集計!AB$13,1))</f>
        <v>0</v>
      </c>
      <c r="AC16" s="34">
        <f t="shared" si="10"/>
        <v>0</v>
      </c>
    </row>
    <row r="17" spans="1:29" x14ac:dyDescent="0.15">
      <c r="A17" s="57"/>
      <c r="B17" s="24" t="s">
        <v>37</v>
      </c>
      <c r="C17" s="22">
        <f>COUNTIF(年間一覧表!$X$16:$AD$21,LEFT(月別集計!C$13,1))</f>
        <v>0</v>
      </c>
      <c r="D17" s="22">
        <f>COUNTIF(年間一覧表!$X$16:$AD$21,LEFT(月別集計!D$13,1))</f>
        <v>0</v>
      </c>
      <c r="E17" s="22">
        <f>COUNTIF(年間一覧表!$X$16:$AD$21,LEFT(月別集計!E$13,1))</f>
        <v>0</v>
      </c>
      <c r="F17" s="22">
        <f>COUNTIF(年間一覧表!$X$16:$AD$21,LEFT(月別集計!F$13,1))</f>
        <v>0</v>
      </c>
      <c r="G17" s="22">
        <f>COUNTIF(年間一覧表!$X$16:$AD$21,LEFT(月別集計!G$13,1))</f>
        <v>0</v>
      </c>
      <c r="H17" s="22">
        <f>COUNTIF(年間一覧表!$X$16:$AD$21,LEFT(月別集計!H$13,1))</f>
        <v>0</v>
      </c>
      <c r="I17" s="22">
        <f>COUNTIF(年間一覧表!$X$16:$AD$21,LEFT(月別集計!I$13,1))</f>
        <v>0</v>
      </c>
      <c r="J17" s="22">
        <f>COUNTIF(年間一覧表!$X$16:$AD$21,LEFT(月別集計!J$13,1))</f>
        <v>0</v>
      </c>
      <c r="K17" s="22">
        <f>COUNTIF(年間一覧表!$X$16:$AD$21,LEFT(月別集計!K$13,1))</f>
        <v>0</v>
      </c>
      <c r="L17" s="22">
        <f>COUNTIF(年間一覧表!$X$16:$AD$21,LEFT(月別集計!L$13,1))</f>
        <v>0</v>
      </c>
      <c r="M17" s="22">
        <f>COUNTIF(年間一覧表!$X$16:$AD$21,LEFT(月別集計!M$13,1))</f>
        <v>0</v>
      </c>
      <c r="N17" s="22">
        <f>COUNTIF(年間一覧表!$X$16:$AD$21,LEFT(月別集計!N$13,1))</f>
        <v>0</v>
      </c>
      <c r="O17" s="22">
        <f>COUNTIF(年間一覧表!$X$16:$AD$21,LEFT(月別集計!O$13,1))</f>
        <v>0</v>
      </c>
      <c r="P17" s="28">
        <f t="shared" si="7"/>
        <v>0</v>
      </c>
      <c r="Q17" s="22">
        <f>COUNTIF(年間一覧表!$X$16:$AD$21,LEFT(月別集計!Q$13,1))</f>
        <v>0</v>
      </c>
      <c r="R17" s="22">
        <f>COUNTIF(年間一覧表!$X$16:$AD$21,RIGHT(月別集計!R$13,1))</f>
        <v>0</v>
      </c>
      <c r="S17" s="22">
        <f>COUNTIF(年間一覧表!$X$16:$AD$21,LEFT(月別集計!S$13,1))</f>
        <v>0</v>
      </c>
      <c r="T17" s="22">
        <f>COUNTIF(年間一覧表!$X$16:$AD$21,LEFT(月別集計!T$13,1))</f>
        <v>0</v>
      </c>
      <c r="U17" s="22">
        <f>COUNTIF(年間一覧表!$X$16:$AD$21,LEFT(月別集計!U$13,1))</f>
        <v>0</v>
      </c>
      <c r="V17" s="30">
        <f t="shared" si="8"/>
        <v>0</v>
      </c>
      <c r="W17" s="32">
        <f t="shared" si="9"/>
        <v>0</v>
      </c>
      <c r="X17" s="22">
        <f>COUNTIF(年間一覧表!$X$16:$AD$21,LEFT(月別集計!X$13,1))</f>
        <v>0</v>
      </c>
      <c r="Y17" s="22">
        <f>COUNTIF(年間一覧表!$X$16:$AD$21,LEFT(月別集計!Y$13,1))</f>
        <v>0</v>
      </c>
      <c r="Z17" s="22">
        <f>COUNTIF(年間一覧表!$X$16:$AD$21,LEFT(月別集計!Z$13,1))</f>
        <v>0</v>
      </c>
      <c r="AA17" s="22">
        <f>COUNTIF(年間一覧表!$X$16:$AD$21,LEFT(月別集計!AA$13,1))</f>
        <v>0</v>
      </c>
      <c r="AB17" s="22">
        <f>COUNTIF(年間一覧表!$X$16:$AD$21,LEFT(月別集計!AB$13,1))</f>
        <v>0</v>
      </c>
      <c r="AC17" s="34">
        <f t="shared" si="10"/>
        <v>0</v>
      </c>
    </row>
    <row r="18" spans="1:29" x14ac:dyDescent="0.15">
      <c r="A18" s="57"/>
      <c r="B18" s="24" t="s">
        <v>38</v>
      </c>
      <c r="C18" s="22">
        <f>COUNTIF(年間一覧表!$AE$16:$AK$21,LEFT(月別集計!C$13,1))</f>
        <v>0</v>
      </c>
      <c r="D18" s="22">
        <f>COUNTIF(年間一覧表!$AE$16:$AK$21,LEFT(月別集計!D$13,1))</f>
        <v>0</v>
      </c>
      <c r="E18" s="22">
        <f>COUNTIF(年間一覧表!$AE$16:$AK$21,LEFT(月別集計!E$13,1))</f>
        <v>0</v>
      </c>
      <c r="F18" s="22">
        <f>COUNTIF(年間一覧表!$AE$16:$AK$21,LEFT(月別集計!F$13,1))</f>
        <v>0</v>
      </c>
      <c r="G18" s="22">
        <f>COUNTIF(年間一覧表!$AE$16:$AK$21,LEFT(月別集計!G$13,1))</f>
        <v>0</v>
      </c>
      <c r="H18" s="22">
        <f>COUNTIF(年間一覧表!$AE$16:$AK$21,LEFT(月別集計!H$13,1))</f>
        <v>0</v>
      </c>
      <c r="I18" s="22">
        <f>COUNTIF(年間一覧表!$AE$16:$AK$21,LEFT(月別集計!I$13,1))</f>
        <v>0</v>
      </c>
      <c r="J18" s="22">
        <f>COUNTIF(年間一覧表!$AE$16:$AK$21,LEFT(月別集計!J$13,1))</f>
        <v>0</v>
      </c>
      <c r="K18" s="22">
        <f>COUNTIF(年間一覧表!$AE$16:$AK$21,LEFT(月別集計!K$13,1))</f>
        <v>0</v>
      </c>
      <c r="L18" s="22">
        <f>COUNTIF(年間一覧表!$AE$16:$AK$21,LEFT(月別集計!L$13,1))</f>
        <v>0</v>
      </c>
      <c r="M18" s="22">
        <f>COUNTIF(年間一覧表!$AE$16:$AK$21,LEFT(月別集計!M$13,1))</f>
        <v>0</v>
      </c>
      <c r="N18" s="22">
        <f>COUNTIF(年間一覧表!$AE$16:$AK$21,LEFT(月別集計!N$13,1))</f>
        <v>0</v>
      </c>
      <c r="O18" s="22">
        <f>COUNTIF(年間一覧表!$AE$16:$AK$21,LEFT(月別集計!O$13,1))</f>
        <v>0</v>
      </c>
      <c r="P18" s="28">
        <f t="shared" si="7"/>
        <v>0</v>
      </c>
      <c r="Q18" s="22">
        <f>COUNTIF(年間一覧表!$AE$16:$AK$21,LEFT(月別集計!Q$13,1))</f>
        <v>0</v>
      </c>
      <c r="R18" s="22">
        <f>COUNTIF(年間一覧表!$AE$16:$AK$21,RIGHT(月別集計!R$13,1))</f>
        <v>0</v>
      </c>
      <c r="S18" s="22">
        <f>COUNTIF(年間一覧表!$AE$16:$AK$21,LEFT(月別集計!S$13,1))</f>
        <v>0</v>
      </c>
      <c r="T18" s="22">
        <f>COUNTIF(年間一覧表!$AE$16:$AK$21,LEFT(月別集計!T$13,1))</f>
        <v>0</v>
      </c>
      <c r="U18" s="22">
        <f>COUNTIF(年間一覧表!$AE$16:$AK$21,LEFT(月別集計!U$13,1))</f>
        <v>0</v>
      </c>
      <c r="V18" s="30">
        <f t="shared" si="8"/>
        <v>0</v>
      </c>
      <c r="W18" s="32">
        <f t="shared" si="9"/>
        <v>0</v>
      </c>
      <c r="X18" s="22">
        <f>COUNTIF(年間一覧表!$AE$16:$AK$21,LEFT(月別集計!X$13,1))</f>
        <v>0</v>
      </c>
      <c r="Y18" s="22">
        <f>COUNTIF(年間一覧表!$AE$16:$AK$21,LEFT(月別集計!Y$13,1))</f>
        <v>0</v>
      </c>
      <c r="Z18" s="22">
        <f>COUNTIF(年間一覧表!$AE$16:$AK$21,LEFT(月別集計!Z$13,1))</f>
        <v>0</v>
      </c>
      <c r="AA18" s="22">
        <f>COUNTIF(年間一覧表!$AE$16:$AK$21,LEFT(月別集計!AA$13,1))</f>
        <v>0</v>
      </c>
      <c r="AB18" s="22">
        <f>COUNTIF(年間一覧表!$AE$16:$AK$21,LEFT(月別集計!AB$13,1))</f>
        <v>0</v>
      </c>
      <c r="AC18" s="34">
        <f t="shared" si="10"/>
        <v>0</v>
      </c>
    </row>
    <row r="19" spans="1:29" x14ac:dyDescent="0.15">
      <c r="A19" s="57"/>
      <c r="B19" s="24" t="s">
        <v>39</v>
      </c>
      <c r="C19" s="22">
        <f>COUNTIF(年間一覧表!$AL$16:$AM$21,LEFT(月別集計!C$13,1))</f>
        <v>0</v>
      </c>
      <c r="D19" s="22">
        <f>COUNTIF(年間一覧表!$AL$16:$AM$21,LEFT(月別集計!D$13,1))</f>
        <v>0</v>
      </c>
      <c r="E19" s="22">
        <f>COUNTIF(年間一覧表!$AL$16:$AM$21,LEFT(月別集計!E$13,1))</f>
        <v>0</v>
      </c>
      <c r="F19" s="22">
        <f>COUNTIF(年間一覧表!$AL$16:$AM$21,LEFT(月別集計!F$13,1))</f>
        <v>0</v>
      </c>
      <c r="G19" s="22">
        <f>COUNTIF(年間一覧表!$AL$16:$AM$21,LEFT(月別集計!G$13,1))</f>
        <v>0</v>
      </c>
      <c r="H19" s="22">
        <f>COUNTIF(年間一覧表!$AL$16:$AM$21,LEFT(月別集計!H$13,1))</f>
        <v>0</v>
      </c>
      <c r="I19" s="22">
        <f>COUNTIF(年間一覧表!$AL$16:$AM$21,LEFT(月別集計!I$13,1))</f>
        <v>0</v>
      </c>
      <c r="J19" s="22">
        <f>COUNTIF(年間一覧表!$AL$16:$AM$21,LEFT(月別集計!J$13,1))</f>
        <v>0</v>
      </c>
      <c r="K19" s="22">
        <f>COUNTIF(年間一覧表!$AL$16:$AM$21,LEFT(月別集計!K$13,1))</f>
        <v>0</v>
      </c>
      <c r="L19" s="22">
        <f>COUNTIF(年間一覧表!$AL$16:$AM$21,LEFT(月別集計!L$13,1))</f>
        <v>0</v>
      </c>
      <c r="M19" s="22">
        <f>COUNTIF(年間一覧表!$AL$16:$AM$21,LEFT(月別集計!M$13,1))</f>
        <v>0</v>
      </c>
      <c r="N19" s="22">
        <f>COUNTIF(年間一覧表!$AL$16:$AM$21,LEFT(月別集計!N$13,1))</f>
        <v>0</v>
      </c>
      <c r="O19" s="22">
        <f>COUNTIF(年間一覧表!$AL$16:$AM$21,LEFT(月別集計!O$13,1))</f>
        <v>0</v>
      </c>
      <c r="P19" s="28">
        <f t="shared" si="7"/>
        <v>0</v>
      </c>
      <c r="Q19" s="22">
        <f>COUNTIF(年間一覧表!$AL$16:$AM$21,LEFT(月別集計!Q$13,1))</f>
        <v>0</v>
      </c>
      <c r="R19" s="22">
        <f>COUNTIF(年間一覧表!$AL$16:$AM$21,RIGHT(月別集計!R$13,1))</f>
        <v>0</v>
      </c>
      <c r="S19" s="22">
        <f>COUNTIF(年間一覧表!$AL$16:$AM$21,LEFT(月別集計!S$13,1))</f>
        <v>0</v>
      </c>
      <c r="T19" s="22">
        <f>COUNTIF(年間一覧表!$AL$16:$AM$21,LEFT(月別集計!T$13,1))</f>
        <v>0</v>
      </c>
      <c r="U19" s="22">
        <f>COUNTIF(年間一覧表!$AL$16:$AM$21,LEFT(月別集計!U$13,1))</f>
        <v>0</v>
      </c>
      <c r="V19" s="30">
        <f t="shared" si="8"/>
        <v>0</v>
      </c>
      <c r="W19" s="32">
        <f t="shared" si="9"/>
        <v>0</v>
      </c>
      <c r="X19" s="22">
        <f>COUNTIF(年間一覧表!$AL$16:$AM$21,LEFT(月別集計!X$13,1))</f>
        <v>0</v>
      </c>
      <c r="Y19" s="22">
        <f>COUNTIF(年間一覧表!$AL$16:$AM$21,LEFT(月別集計!Y$13,1))</f>
        <v>0</v>
      </c>
      <c r="Z19" s="22">
        <f>COUNTIF(年間一覧表!$AL$16:$AM$21,LEFT(月別集計!Z$13,1))</f>
        <v>0</v>
      </c>
      <c r="AA19" s="22">
        <f>COUNTIF(年間一覧表!$AL$16:$AM$21,LEFT(月別集計!AA$13,1))</f>
        <v>0</v>
      </c>
      <c r="AB19" s="22">
        <f>COUNTIF(年間一覧表!$AL$16:$AM$21,LEFT(月別集計!AB$13,1))</f>
        <v>0</v>
      </c>
      <c r="AC19" s="34">
        <f t="shared" si="10"/>
        <v>0</v>
      </c>
    </row>
    <row r="20" spans="1:29" x14ac:dyDescent="0.15">
      <c r="A20" s="58"/>
      <c r="B20" s="24" t="s">
        <v>40</v>
      </c>
      <c r="C20" s="26">
        <f>SUM(C14:C19)</f>
        <v>0</v>
      </c>
      <c r="D20" s="26">
        <f t="shared" ref="D20:AC20" si="11">SUM(D14:D19)</f>
        <v>0</v>
      </c>
      <c r="E20" s="26">
        <f t="shared" si="11"/>
        <v>0</v>
      </c>
      <c r="F20" s="26">
        <f t="shared" si="11"/>
        <v>0</v>
      </c>
      <c r="G20" s="26">
        <f t="shared" si="11"/>
        <v>0</v>
      </c>
      <c r="H20" s="26">
        <f t="shared" si="11"/>
        <v>0</v>
      </c>
      <c r="I20" s="26">
        <f t="shared" si="11"/>
        <v>0</v>
      </c>
      <c r="J20" s="26">
        <f t="shared" si="11"/>
        <v>0</v>
      </c>
      <c r="K20" s="26">
        <f t="shared" si="11"/>
        <v>0</v>
      </c>
      <c r="L20" s="26">
        <f t="shared" si="11"/>
        <v>0</v>
      </c>
      <c r="M20" s="26">
        <f t="shared" si="11"/>
        <v>0</v>
      </c>
      <c r="N20" s="26">
        <f t="shared" si="11"/>
        <v>0</v>
      </c>
      <c r="O20" s="26">
        <f t="shared" si="11"/>
        <v>0</v>
      </c>
      <c r="P20" s="28">
        <f t="shared" si="11"/>
        <v>0</v>
      </c>
      <c r="Q20" s="26">
        <f t="shared" si="11"/>
        <v>0</v>
      </c>
      <c r="R20" s="26">
        <f t="shared" si="11"/>
        <v>0</v>
      </c>
      <c r="S20" s="26">
        <f t="shared" si="11"/>
        <v>0</v>
      </c>
      <c r="T20" s="26">
        <f t="shared" si="11"/>
        <v>0</v>
      </c>
      <c r="U20" s="26">
        <f t="shared" si="11"/>
        <v>0</v>
      </c>
      <c r="V20" s="30">
        <f t="shared" si="11"/>
        <v>0</v>
      </c>
      <c r="W20" s="32">
        <f t="shared" si="11"/>
        <v>0</v>
      </c>
      <c r="X20" s="26">
        <f t="shared" si="11"/>
        <v>0</v>
      </c>
      <c r="Y20" s="26">
        <f t="shared" si="11"/>
        <v>0</v>
      </c>
      <c r="Z20" s="26">
        <f t="shared" si="11"/>
        <v>0</v>
      </c>
      <c r="AA20" s="26">
        <f t="shared" si="11"/>
        <v>0</v>
      </c>
      <c r="AB20" s="26">
        <f t="shared" si="11"/>
        <v>0</v>
      </c>
      <c r="AC20" s="34">
        <f t="shared" si="11"/>
        <v>0</v>
      </c>
    </row>
    <row r="22" spans="1:29" x14ac:dyDescent="0.15">
      <c r="A22" s="56" t="s">
        <v>63</v>
      </c>
      <c r="B22" s="24"/>
      <c r="C22" s="59" t="s">
        <v>41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  <c r="Q22" s="62" t="s">
        <v>51</v>
      </c>
      <c r="R22" s="62"/>
      <c r="S22" s="62"/>
      <c r="T22" s="62"/>
      <c r="U22" s="62"/>
      <c r="V22" s="62"/>
      <c r="W22" s="31"/>
      <c r="X22" s="53" t="s">
        <v>53</v>
      </c>
      <c r="Y22" s="54"/>
      <c r="Z22" s="54"/>
      <c r="AA22" s="54"/>
      <c r="AB22" s="55"/>
      <c r="AC22" s="34"/>
    </row>
    <row r="23" spans="1:29" s="15" customFormat="1" x14ac:dyDescent="0.15">
      <c r="A23" s="57"/>
      <c r="B23" s="24"/>
      <c r="C23" s="24" t="s">
        <v>8</v>
      </c>
      <c r="D23" s="24" t="s">
        <v>10</v>
      </c>
      <c r="E23" s="24" t="s">
        <v>11</v>
      </c>
      <c r="F23" s="24" t="s">
        <v>12</v>
      </c>
      <c r="G23" s="24" t="s">
        <v>13</v>
      </c>
      <c r="H23" s="24" t="s">
        <v>14</v>
      </c>
      <c r="I23" s="24" t="s">
        <v>15</v>
      </c>
      <c r="J23" s="24" t="s">
        <v>17</v>
      </c>
      <c r="K23" s="24" t="s">
        <v>16</v>
      </c>
      <c r="L23" s="24" t="s">
        <v>19</v>
      </c>
      <c r="M23" s="24" t="s">
        <v>20</v>
      </c>
      <c r="N23" s="24" t="s">
        <v>18</v>
      </c>
      <c r="O23" s="24" t="s">
        <v>34</v>
      </c>
      <c r="P23" s="27" t="s">
        <v>40</v>
      </c>
      <c r="Q23" s="24" t="s">
        <v>42</v>
      </c>
      <c r="R23" s="24" t="s">
        <v>43</v>
      </c>
      <c r="S23" s="24" t="s">
        <v>44</v>
      </c>
      <c r="T23" s="24" t="s">
        <v>45</v>
      </c>
      <c r="U23" s="24" t="s">
        <v>46</v>
      </c>
      <c r="V23" s="29" t="s">
        <v>52</v>
      </c>
      <c r="W23" s="31" t="s">
        <v>73</v>
      </c>
      <c r="X23" s="24" t="s">
        <v>21</v>
      </c>
      <c r="Y23" s="24" t="s">
        <v>69</v>
      </c>
      <c r="Z23" s="24" t="s">
        <v>70</v>
      </c>
      <c r="AA23" s="24" t="s">
        <v>53</v>
      </c>
      <c r="AB23" s="50" t="s">
        <v>109</v>
      </c>
      <c r="AC23" s="33" t="s">
        <v>50</v>
      </c>
    </row>
    <row r="24" spans="1:29" x14ac:dyDescent="0.15">
      <c r="A24" s="57"/>
      <c r="B24" s="24" t="s">
        <v>33</v>
      </c>
      <c r="C24" s="22">
        <f>COUNTIF(年間一覧表!$C$26:$I$31,LEFT(月別集計!C$23,1))</f>
        <v>0</v>
      </c>
      <c r="D24" s="22">
        <f>COUNTIF(年間一覧表!$C$26:$I$31,LEFT(月別集計!D$23,1))</f>
        <v>0</v>
      </c>
      <c r="E24" s="22">
        <f>COUNTIF(年間一覧表!$C$26:$I$31,LEFT(月別集計!E$23,1))</f>
        <v>0</v>
      </c>
      <c r="F24" s="22">
        <f>COUNTIF(年間一覧表!$C$26:$I$31,LEFT(月別集計!F$23,1))</f>
        <v>0</v>
      </c>
      <c r="G24" s="22">
        <f>COUNTIF(年間一覧表!$C$26:$I$31,LEFT(月別集計!G$23,1))</f>
        <v>0</v>
      </c>
      <c r="H24" s="22">
        <f>COUNTIF(年間一覧表!$C$26:$I$31,LEFT(月別集計!H$23,1))</f>
        <v>0</v>
      </c>
      <c r="I24" s="22">
        <f>COUNTIF(年間一覧表!$C$26:$I$31,LEFT(月別集計!I$23,1))</f>
        <v>0</v>
      </c>
      <c r="J24" s="22">
        <f>COUNTIF(年間一覧表!$C$26:$I$31,LEFT(月別集計!J$23,1))</f>
        <v>0</v>
      </c>
      <c r="K24" s="22">
        <f>COUNTIF(年間一覧表!$C$26:$I$31,LEFT(月別集計!K$23,1))</f>
        <v>0</v>
      </c>
      <c r="L24" s="22">
        <f>COUNTIF(年間一覧表!$C$26:$I$31,LEFT(月別集計!L$23,1))</f>
        <v>0</v>
      </c>
      <c r="M24" s="22">
        <f>COUNTIF(年間一覧表!$C$26:$I$31,LEFT(月別集計!M$23,1))</f>
        <v>0</v>
      </c>
      <c r="N24" s="22">
        <f>COUNTIF(年間一覧表!$C$26:$I$31,LEFT(月別集計!N$23,1))</f>
        <v>0</v>
      </c>
      <c r="O24" s="22">
        <f>COUNTIF(年間一覧表!$C$26:$I$31,LEFT(月別集計!O$23,1))</f>
        <v>0</v>
      </c>
      <c r="P24" s="28">
        <f>SUM(C24:O24)</f>
        <v>0</v>
      </c>
      <c r="Q24" s="22">
        <f>COUNTIF(年間一覧表!$C$26:$I$31,LEFT(月別集計!Q$23,1))</f>
        <v>0</v>
      </c>
      <c r="R24" s="22">
        <f>COUNTIF(年間一覧表!$C$26:$I$31,RIGHT(月別集計!R$23,1))</f>
        <v>0</v>
      </c>
      <c r="S24" s="22">
        <f>COUNTIF(年間一覧表!$C$26:$I$31,LEFT(月別集計!S$23,1))</f>
        <v>0</v>
      </c>
      <c r="T24" s="22">
        <f>COUNTIF(年間一覧表!$C$26:$I$31,LEFT(月別集計!T$23,1))</f>
        <v>0</v>
      </c>
      <c r="U24" s="22">
        <f>COUNTIF(年間一覧表!$C$26:$I$31,LEFT(月別集計!U$23,1))</f>
        <v>0</v>
      </c>
      <c r="V24" s="30">
        <f>SUM(Q24:U24)</f>
        <v>0</v>
      </c>
      <c r="W24" s="32">
        <f>P24+V24</f>
        <v>0</v>
      </c>
      <c r="X24" s="22">
        <f>COUNTIF(年間一覧表!$C$26:$I$31,LEFT(月別集計!X$23,1))</f>
        <v>0</v>
      </c>
      <c r="Y24" s="22">
        <f>COUNTIF(年間一覧表!$C$26:$I$31,LEFT(月別集計!Y$23,1))</f>
        <v>0</v>
      </c>
      <c r="Z24" s="22">
        <f>COUNTIF(年間一覧表!$C$26:$I$31,LEFT(月別集計!Z$23,1))</f>
        <v>0</v>
      </c>
      <c r="AA24" s="22">
        <f>COUNTIF(年間一覧表!$C$26:$I$31,LEFT(月別集計!AA$23,1))</f>
        <v>0</v>
      </c>
      <c r="AB24" s="22">
        <f>COUNTIF(年間一覧表!$C$26:$I$31,LEFT(月別集計!AB$23,1))</f>
        <v>0</v>
      </c>
      <c r="AC24" s="34">
        <f>SUM(W24:AB24)</f>
        <v>0</v>
      </c>
    </row>
    <row r="25" spans="1:29" x14ac:dyDescent="0.15">
      <c r="A25" s="57"/>
      <c r="B25" s="24" t="s">
        <v>35</v>
      </c>
      <c r="C25" s="22">
        <f>COUNTIF(年間一覧表!$J$26:$P$31,LEFT(月別集計!C$23,1))</f>
        <v>0</v>
      </c>
      <c r="D25" s="22">
        <f>COUNTIF(年間一覧表!$J$26:$P$31,LEFT(月別集計!D$23,1))</f>
        <v>0</v>
      </c>
      <c r="E25" s="22">
        <f>COUNTIF(年間一覧表!$J$26:$P$31,LEFT(月別集計!E$23,1))</f>
        <v>0</v>
      </c>
      <c r="F25" s="22">
        <f>COUNTIF(年間一覧表!$J$26:$P$31,LEFT(月別集計!F$23,1))</f>
        <v>0</v>
      </c>
      <c r="G25" s="22">
        <f>COUNTIF(年間一覧表!$J$26:$P$31,LEFT(月別集計!G$23,1))</f>
        <v>0</v>
      </c>
      <c r="H25" s="22">
        <f>COUNTIF(年間一覧表!$J$26:$P$31,LEFT(月別集計!H$23,1))</f>
        <v>0</v>
      </c>
      <c r="I25" s="22">
        <f>COUNTIF(年間一覧表!$J$26:$P$31,LEFT(月別集計!I$23,1))</f>
        <v>0</v>
      </c>
      <c r="J25" s="22">
        <f>COUNTIF(年間一覧表!$J$26:$P$31,LEFT(月別集計!J$23,1))</f>
        <v>0</v>
      </c>
      <c r="K25" s="22">
        <f>COUNTIF(年間一覧表!$J$26:$P$31,LEFT(月別集計!K$23,1))</f>
        <v>0</v>
      </c>
      <c r="L25" s="22">
        <f>COUNTIF(年間一覧表!$J$26:$P$31,LEFT(月別集計!L$23,1))</f>
        <v>0</v>
      </c>
      <c r="M25" s="22">
        <f>COUNTIF(年間一覧表!$J$26:$P$31,LEFT(月別集計!M$23,1))</f>
        <v>0</v>
      </c>
      <c r="N25" s="22">
        <f>COUNTIF(年間一覧表!$J$26:$P$31,LEFT(月別集計!N$23,1))</f>
        <v>0</v>
      </c>
      <c r="O25" s="22">
        <f>COUNTIF(年間一覧表!$J$26:$P$31,LEFT(月別集計!O$23,1))</f>
        <v>0</v>
      </c>
      <c r="P25" s="28">
        <f t="shared" ref="P25:P29" si="12">SUM(C25:O25)</f>
        <v>0</v>
      </c>
      <c r="Q25" s="22">
        <f>COUNTIF(年間一覧表!$J$26:$P$31,LEFT(月別集計!Q$23,1))</f>
        <v>0</v>
      </c>
      <c r="R25" s="22">
        <f>COUNTIF(年間一覧表!$J$26:$P$31,RIGHT(月別集計!R$23,1))</f>
        <v>0</v>
      </c>
      <c r="S25" s="22">
        <f>COUNTIF(年間一覧表!$J$26:$P$31,LEFT(月別集計!S$23,1))</f>
        <v>0</v>
      </c>
      <c r="T25" s="22">
        <f>COUNTIF(年間一覧表!$J$26:$P$31,LEFT(月別集計!T$23,1))</f>
        <v>0</v>
      </c>
      <c r="U25" s="22">
        <f>COUNTIF(年間一覧表!$J$26:$P$31,LEFT(月別集計!U$23,1))</f>
        <v>0</v>
      </c>
      <c r="V25" s="30">
        <f t="shared" ref="V25:V29" si="13">SUM(Q25:U25)</f>
        <v>0</v>
      </c>
      <c r="W25" s="32">
        <f t="shared" ref="W25:W29" si="14">P25+V25</f>
        <v>0</v>
      </c>
      <c r="X25" s="22">
        <f>COUNTIF(年間一覧表!$J$26:$P$31,LEFT(月別集計!X$23,1))</f>
        <v>0</v>
      </c>
      <c r="Y25" s="22">
        <f>COUNTIF(年間一覧表!$J$26:$P$31,LEFT(月別集計!Y$23,1))</f>
        <v>0</v>
      </c>
      <c r="Z25" s="22">
        <f>COUNTIF(年間一覧表!$J$26:$P$31,LEFT(月別集計!Z$23,1))</f>
        <v>0</v>
      </c>
      <c r="AA25" s="22">
        <f>COUNTIF(年間一覧表!$J$26:$P$31,LEFT(月別集計!AA$23,1))</f>
        <v>0</v>
      </c>
      <c r="AB25" s="22">
        <f>COUNTIF(年間一覧表!$J$26:$P$31,LEFT(月別集計!AB$23,1))</f>
        <v>0</v>
      </c>
      <c r="AC25" s="34">
        <f t="shared" ref="AC25:AC29" si="15">SUM(W25:AB25)</f>
        <v>0</v>
      </c>
    </row>
    <row r="26" spans="1:29" x14ac:dyDescent="0.15">
      <c r="A26" s="57"/>
      <c r="B26" s="24" t="s">
        <v>36</v>
      </c>
      <c r="C26" s="22">
        <f>COUNTIF(年間一覧表!$Q$26:$W$31,LEFT(月別集計!C$23,1))</f>
        <v>0</v>
      </c>
      <c r="D26" s="22">
        <f>COUNTIF(年間一覧表!$Q$26:$W$31,LEFT(月別集計!D$23,1))</f>
        <v>0</v>
      </c>
      <c r="E26" s="22">
        <f>COUNTIF(年間一覧表!$Q$26:$W$31,LEFT(月別集計!E$23,1))</f>
        <v>0</v>
      </c>
      <c r="F26" s="22">
        <f>COUNTIF(年間一覧表!$Q$26:$W$31,LEFT(月別集計!F$23,1))</f>
        <v>0</v>
      </c>
      <c r="G26" s="22">
        <f>COUNTIF(年間一覧表!$Q$26:$W$31,LEFT(月別集計!G$23,1))</f>
        <v>0</v>
      </c>
      <c r="H26" s="22">
        <f>COUNTIF(年間一覧表!$Q$26:$W$31,LEFT(月別集計!H$23,1))</f>
        <v>0</v>
      </c>
      <c r="I26" s="22">
        <f>COUNTIF(年間一覧表!$Q$26:$W$31,LEFT(月別集計!I$23,1))</f>
        <v>0</v>
      </c>
      <c r="J26" s="22">
        <f>COUNTIF(年間一覧表!$Q$26:$W$31,LEFT(月別集計!J$23,1))</f>
        <v>0</v>
      </c>
      <c r="K26" s="22">
        <f>COUNTIF(年間一覧表!$Q$26:$W$31,LEFT(月別集計!K$23,1))</f>
        <v>0</v>
      </c>
      <c r="L26" s="22">
        <f>COUNTIF(年間一覧表!$Q$26:$W$31,LEFT(月別集計!L$23,1))</f>
        <v>0</v>
      </c>
      <c r="M26" s="22">
        <f>COUNTIF(年間一覧表!$Q$26:$W$31,LEFT(月別集計!M$23,1))</f>
        <v>0</v>
      </c>
      <c r="N26" s="22">
        <f>COUNTIF(年間一覧表!$Q$26:$W$31,LEFT(月別集計!N$23,1))</f>
        <v>0</v>
      </c>
      <c r="O26" s="22">
        <f>COUNTIF(年間一覧表!$Q$26:$W$31,LEFT(月別集計!O$23,1))</f>
        <v>0</v>
      </c>
      <c r="P26" s="28">
        <f t="shared" si="12"/>
        <v>0</v>
      </c>
      <c r="Q26" s="22">
        <f>COUNTIF(年間一覧表!$Q$26:$W$31,LEFT(月別集計!Q$23,1))</f>
        <v>0</v>
      </c>
      <c r="R26" s="22">
        <f>COUNTIF(年間一覧表!$Q$26:$W$31,RIGHT(月別集計!R$23,1))</f>
        <v>0</v>
      </c>
      <c r="S26" s="22">
        <f>COUNTIF(年間一覧表!$Q$26:$W$31,LEFT(月別集計!S$23,1))</f>
        <v>0</v>
      </c>
      <c r="T26" s="22">
        <f>COUNTIF(年間一覧表!$Q$26:$W$31,LEFT(月別集計!T$23,1))</f>
        <v>0</v>
      </c>
      <c r="U26" s="22">
        <f>COUNTIF(年間一覧表!$Q$26:$W$31,LEFT(月別集計!U$23,1))</f>
        <v>0</v>
      </c>
      <c r="V26" s="30">
        <f t="shared" si="13"/>
        <v>0</v>
      </c>
      <c r="W26" s="32">
        <f t="shared" si="14"/>
        <v>0</v>
      </c>
      <c r="X26" s="22">
        <f>COUNTIF(年間一覧表!$Q$26:$W$31,LEFT(月別集計!X$23,1))</f>
        <v>0</v>
      </c>
      <c r="Y26" s="22">
        <f>COUNTIF(年間一覧表!$Q$26:$W$31,LEFT(月別集計!Y$23,1))</f>
        <v>0</v>
      </c>
      <c r="Z26" s="22">
        <f>COUNTIF(年間一覧表!$Q$26:$W$31,LEFT(月別集計!Z$23,1))</f>
        <v>0</v>
      </c>
      <c r="AA26" s="22">
        <f>COUNTIF(年間一覧表!$Q$26:$W$31,LEFT(月別集計!AA$23,1))</f>
        <v>0</v>
      </c>
      <c r="AB26" s="22">
        <f>COUNTIF(年間一覧表!$Q$26:$W$31,LEFT(月別集計!AB$23,1))</f>
        <v>0</v>
      </c>
      <c r="AC26" s="34">
        <f t="shared" si="15"/>
        <v>0</v>
      </c>
    </row>
    <row r="27" spans="1:29" x14ac:dyDescent="0.15">
      <c r="A27" s="57"/>
      <c r="B27" s="24" t="s">
        <v>37</v>
      </c>
      <c r="C27" s="22">
        <f>COUNTIF(年間一覧表!$X$26:$AD$31,LEFT(月別集計!C$23,1))</f>
        <v>0</v>
      </c>
      <c r="D27" s="22">
        <f>COUNTIF(年間一覧表!$X$26:$AD$31,LEFT(月別集計!D$23,1))</f>
        <v>0</v>
      </c>
      <c r="E27" s="22">
        <f>COUNTIF(年間一覧表!$X$26:$AD$31,LEFT(月別集計!E$23,1))</f>
        <v>0</v>
      </c>
      <c r="F27" s="22">
        <f>COUNTIF(年間一覧表!$X$26:$AD$31,LEFT(月別集計!F$23,1))</f>
        <v>0</v>
      </c>
      <c r="G27" s="22">
        <f>COUNTIF(年間一覧表!$X$26:$AD$31,LEFT(月別集計!G$23,1))</f>
        <v>0</v>
      </c>
      <c r="H27" s="22">
        <f>COUNTIF(年間一覧表!$X$26:$AD$31,LEFT(月別集計!H$23,1))</f>
        <v>0</v>
      </c>
      <c r="I27" s="22">
        <f>COUNTIF(年間一覧表!$X$26:$AD$31,LEFT(月別集計!I$23,1))</f>
        <v>0</v>
      </c>
      <c r="J27" s="22">
        <f>COUNTIF(年間一覧表!$X$26:$AD$31,LEFT(月別集計!J$23,1))</f>
        <v>0</v>
      </c>
      <c r="K27" s="22">
        <f>COUNTIF(年間一覧表!$X$26:$AD$31,LEFT(月別集計!K$23,1))</f>
        <v>0</v>
      </c>
      <c r="L27" s="22">
        <f>COUNTIF(年間一覧表!$X$26:$AD$31,LEFT(月別集計!L$23,1))</f>
        <v>0</v>
      </c>
      <c r="M27" s="22">
        <f>COUNTIF(年間一覧表!$X$26:$AD$31,LEFT(月別集計!M$23,1))</f>
        <v>0</v>
      </c>
      <c r="N27" s="22">
        <f>COUNTIF(年間一覧表!$X$26:$AD$31,LEFT(月別集計!N$23,1))</f>
        <v>0</v>
      </c>
      <c r="O27" s="22">
        <f>COUNTIF(年間一覧表!$X$26:$AD$31,LEFT(月別集計!O$23,1))</f>
        <v>0</v>
      </c>
      <c r="P27" s="28">
        <f t="shared" si="12"/>
        <v>0</v>
      </c>
      <c r="Q27" s="22">
        <f>COUNTIF(年間一覧表!$X$26:$AD$31,LEFT(月別集計!Q$23,1))</f>
        <v>0</v>
      </c>
      <c r="R27" s="22">
        <f>COUNTIF(年間一覧表!$X$26:$AD$31,RIGHT(月別集計!R$23,1))</f>
        <v>0</v>
      </c>
      <c r="S27" s="22">
        <f>COUNTIF(年間一覧表!$X$26:$AD$31,LEFT(月別集計!S$23,1))</f>
        <v>0</v>
      </c>
      <c r="T27" s="22">
        <f>COUNTIF(年間一覧表!$X$26:$AD$31,LEFT(月別集計!T$23,1))</f>
        <v>0</v>
      </c>
      <c r="U27" s="22">
        <f>COUNTIF(年間一覧表!$X$26:$AD$31,LEFT(月別集計!U$23,1))</f>
        <v>0</v>
      </c>
      <c r="V27" s="30">
        <f t="shared" si="13"/>
        <v>0</v>
      </c>
      <c r="W27" s="32">
        <f t="shared" si="14"/>
        <v>0</v>
      </c>
      <c r="X27" s="22">
        <f>COUNTIF(年間一覧表!$X$26:$AD$31,LEFT(月別集計!X$23,1))</f>
        <v>0</v>
      </c>
      <c r="Y27" s="22">
        <f>COUNTIF(年間一覧表!$X$26:$AD$31,LEFT(月別集計!Y$23,1))</f>
        <v>0</v>
      </c>
      <c r="Z27" s="22">
        <f>COUNTIF(年間一覧表!$X$26:$AD$31,LEFT(月別集計!Z$23,1))</f>
        <v>0</v>
      </c>
      <c r="AA27" s="22">
        <f>COUNTIF(年間一覧表!$X$26:$AD$31,LEFT(月別集計!AA$23,1))</f>
        <v>0</v>
      </c>
      <c r="AB27" s="22">
        <f>COUNTIF(年間一覧表!$X$26:$AD$31,LEFT(月別集計!AB$23,1))</f>
        <v>0</v>
      </c>
      <c r="AC27" s="34">
        <f t="shared" si="15"/>
        <v>0</v>
      </c>
    </row>
    <row r="28" spans="1:29" x14ac:dyDescent="0.15">
      <c r="A28" s="57"/>
      <c r="B28" s="24" t="s">
        <v>38</v>
      </c>
      <c r="C28" s="22">
        <f>COUNTIF(年間一覧表!$AE$26:$AK$31,LEFT(月別集計!C$23,1))</f>
        <v>0</v>
      </c>
      <c r="D28" s="22">
        <f>COUNTIF(年間一覧表!$AE$26:$AK$31,LEFT(月別集計!D$23,1))</f>
        <v>0</v>
      </c>
      <c r="E28" s="22">
        <f>COUNTIF(年間一覧表!$AE$26:$AK$31,LEFT(月別集計!E$23,1))</f>
        <v>0</v>
      </c>
      <c r="F28" s="22">
        <f>COUNTIF(年間一覧表!$AE$26:$AK$31,LEFT(月別集計!F$23,1))</f>
        <v>0</v>
      </c>
      <c r="G28" s="22">
        <f>COUNTIF(年間一覧表!$AE$26:$AK$31,LEFT(月別集計!G$23,1))</f>
        <v>0</v>
      </c>
      <c r="H28" s="22">
        <f>COUNTIF(年間一覧表!$AE$26:$AK$31,LEFT(月別集計!H$23,1))</f>
        <v>0</v>
      </c>
      <c r="I28" s="22">
        <f>COUNTIF(年間一覧表!$AE$26:$AK$31,LEFT(月別集計!I$23,1))</f>
        <v>0</v>
      </c>
      <c r="J28" s="22">
        <f>COUNTIF(年間一覧表!$AE$26:$AK$31,LEFT(月別集計!J$23,1))</f>
        <v>0</v>
      </c>
      <c r="K28" s="22">
        <f>COUNTIF(年間一覧表!$AE$26:$AK$31,LEFT(月別集計!K$23,1))</f>
        <v>0</v>
      </c>
      <c r="L28" s="22">
        <f>COUNTIF(年間一覧表!$AE$26:$AK$31,LEFT(月別集計!L$23,1))</f>
        <v>0</v>
      </c>
      <c r="M28" s="22">
        <f>COUNTIF(年間一覧表!$AE$26:$AK$31,LEFT(月別集計!M$23,1))</f>
        <v>0</v>
      </c>
      <c r="N28" s="22">
        <f>COUNTIF(年間一覧表!$AE$26:$AK$31,LEFT(月別集計!N$23,1))</f>
        <v>0</v>
      </c>
      <c r="O28" s="22">
        <f>COUNTIF(年間一覧表!$AE$26:$AK$31,LEFT(月別集計!O$23,1))</f>
        <v>0</v>
      </c>
      <c r="P28" s="28">
        <f t="shared" si="12"/>
        <v>0</v>
      </c>
      <c r="Q28" s="22">
        <f>COUNTIF(年間一覧表!$AE$26:$AK$31,LEFT(月別集計!Q$23,1))</f>
        <v>0</v>
      </c>
      <c r="R28" s="22">
        <f>COUNTIF(年間一覧表!$AE$26:$AK$31,RIGHT(月別集計!R$23,1))</f>
        <v>0</v>
      </c>
      <c r="S28" s="22">
        <f>COUNTIF(年間一覧表!$AE$26:$AK$31,LEFT(月別集計!S$23,1))</f>
        <v>0</v>
      </c>
      <c r="T28" s="22">
        <f>COUNTIF(年間一覧表!$AE$26:$AK$31,LEFT(月別集計!T$23,1))</f>
        <v>0</v>
      </c>
      <c r="U28" s="22">
        <f>COUNTIF(年間一覧表!$AE$26:$AK$31,LEFT(月別集計!U$23,1))</f>
        <v>0</v>
      </c>
      <c r="V28" s="30">
        <f t="shared" si="13"/>
        <v>0</v>
      </c>
      <c r="W28" s="32">
        <f t="shared" si="14"/>
        <v>0</v>
      </c>
      <c r="X28" s="22">
        <f>COUNTIF(年間一覧表!$AE$26:$AK$31,LEFT(月別集計!X$23,1))</f>
        <v>0</v>
      </c>
      <c r="Y28" s="22">
        <f>COUNTIF(年間一覧表!$AE$26:$AK$31,LEFT(月別集計!Y$23,1))</f>
        <v>0</v>
      </c>
      <c r="Z28" s="22">
        <f>COUNTIF(年間一覧表!$AE$26:$AK$31,LEFT(月別集計!Z$23,1))</f>
        <v>0</v>
      </c>
      <c r="AA28" s="22">
        <f>COUNTIF(年間一覧表!$AE$26:$AK$31,LEFT(月別集計!AA$23,1))</f>
        <v>0</v>
      </c>
      <c r="AB28" s="22">
        <f>COUNTIF(年間一覧表!$AE$26:$AK$31,LEFT(月別集計!AB$23,1))</f>
        <v>0</v>
      </c>
      <c r="AC28" s="34">
        <f t="shared" si="15"/>
        <v>0</v>
      </c>
    </row>
    <row r="29" spans="1:29" x14ac:dyDescent="0.15">
      <c r="A29" s="57"/>
      <c r="B29" s="24" t="s">
        <v>39</v>
      </c>
      <c r="C29" s="22">
        <f>COUNTIF(年間一覧表!$AL$26:$AL$31,LEFT(月別集計!C$23,1))</f>
        <v>0</v>
      </c>
      <c r="D29" s="22">
        <f>COUNTIF(年間一覧表!$AL$26:$AL$31,LEFT(月別集計!D$23,1))</f>
        <v>0</v>
      </c>
      <c r="E29" s="22">
        <f>COUNTIF(年間一覧表!$AL$26:$AL$31,LEFT(月別集計!E$23,1))</f>
        <v>0</v>
      </c>
      <c r="F29" s="22">
        <f>COUNTIF(年間一覧表!$AL$26:$AL$31,LEFT(月別集計!F$23,1))</f>
        <v>0</v>
      </c>
      <c r="G29" s="22">
        <f>COUNTIF(年間一覧表!$AL$26:$AL$31,LEFT(月別集計!G$23,1))</f>
        <v>0</v>
      </c>
      <c r="H29" s="22">
        <f>COUNTIF(年間一覧表!$AL$26:$AL$31,LEFT(月別集計!H$23,1))</f>
        <v>0</v>
      </c>
      <c r="I29" s="22">
        <f>COUNTIF(年間一覧表!$AL$26:$AL$31,LEFT(月別集計!I$23,1))</f>
        <v>0</v>
      </c>
      <c r="J29" s="22">
        <f>COUNTIF(年間一覧表!$AL$26:$AL$31,LEFT(月別集計!J$23,1))</f>
        <v>0</v>
      </c>
      <c r="K29" s="22">
        <f>COUNTIF(年間一覧表!$AL$26:$AL$31,LEFT(月別集計!K$23,1))</f>
        <v>0</v>
      </c>
      <c r="L29" s="22">
        <f>COUNTIF(年間一覧表!$AL$26:$AL$31,LEFT(月別集計!L$23,1))</f>
        <v>0</v>
      </c>
      <c r="M29" s="22">
        <f>COUNTIF(年間一覧表!$AL$26:$AL$31,LEFT(月別集計!M$23,1))</f>
        <v>0</v>
      </c>
      <c r="N29" s="22">
        <f>COUNTIF(年間一覧表!$AL$26:$AL$31,LEFT(月別集計!N$23,1))</f>
        <v>0</v>
      </c>
      <c r="O29" s="22">
        <f>COUNTIF(年間一覧表!$AL$26:$AL$31,LEFT(月別集計!O$23,1))</f>
        <v>0</v>
      </c>
      <c r="P29" s="28">
        <f t="shared" si="12"/>
        <v>0</v>
      </c>
      <c r="Q29" s="22">
        <f>COUNTIF(年間一覧表!$AL$26:$AL$31,LEFT(月別集計!Q$23,1))</f>
        <v>0</v>
      </c>
      <c r="R29" s="22">
        <f>COUNTIF(年間一覧表!$AL$26:$AL$31,RIGHT(月別集計!R$23,1))</f>
        <v>0</v>
      </c>
      <c r="S29" s="22">
        <f>COUNTIF(年間一覧表!$AL$26:$AL$31,LEFT(月別集計!S$23,1))</f>
        <v>0</v>
      </c>
      <c r="T29" s="22">
        <f>COUNTIF(年間一覧表!$AL$26:$AL$31,LEFT(月別集計!T$23,1))</f>
        <v>0</v>
      </c>
      <c r="U29" s="22">
        <f>COUNTIF(年間一覧表!$AL$26:$AL$31,LEFT(月別集計!U$23,1))</f>
        <v>0</v>
      </c>
      <c r="V29" s="30">
        <f t="shared" si="13"/>
        <v>0</v>
      </c>
      <c r="W29" s="32">
        <f t="shared" si="14"/>
        <v>0</v>
      </c>
      <c r="X29" s="22">
        <f>COUNTIF(年間一覧表!$AL$26:$AL$31,LEFT(月別集計!X$23,1))</f>
        <v>0</v>
      </c>
      <c r="Y29" s="22">
        <f>COUNTIF(年間一覧表!$AL$26:$AL$31,LEFT(月別集計!Y$23,1))</f>
        <v>0</v>
      </c>
      <c r="Z29" s="22">
        <f>COUNTIF(年間一覧表!$AL$26:$AL$31,LEFT(月別集計!Z$23,1))</f>
        <v>0</v>
      </c>
      <c r="AA29" s="22">
        <f>COUNTIF(年間一覧表!$AL$26:$AL$31,LEFT(月別集計!AA$23,1))</f>
        <v>0</v>
      </c>
      <c r="AB29" s="22">
        <f>COUNTIF(年間一覧表!$AL$26:$AL$31,LEFT(月別集計!AB$23,1))</f>
        <v>0</v>
      </c>
      <c r="AC29" s="34">
        <f t="shared" si="15"/>
        <v>0</v>
      </c>
    </row>
    <row r="30" spans="1:29" x14ac:dyDescent="0.15">
      <c r="A30" s="58"/>
      <c r="B30" s="24" t="s">
        <v>40</v>
      </c>
      <c r="C30" s="26">
        <f>SUM(C24:C29)</f>
        <v>0</v>
      </c>
      <c r="D30" s="26">
        <f t="shared" ref="D30:AC30" si="16">SUM(D24:D29)</f>
        <v>0</v>
      </c>
      <c r="E30" s="26">
        <f t="shared" si="16"/>
        <v>0</v>
      </c>
      <c r="F30" s="26">
        <f t="shared" si="16"/>
        <v>0</v>
      </c>
      <c r="G30" s="26">
        <f t="shared" si="16"/>
        <v>0</v>
      </c>
      <c r="H30" s="26">
        <f t="shared" si="16"/>
        <v>0</v>
      </c>
      <c r="I30" s="26">
        <f t="shared" si="16"/>
        <v>0</v>
      </c>
      <c r="J30" s="26">
        <f t="shared" si="16"/>
        <v>0</v>
      </c>
      <c r="K30" s="26">
        <f t="shared" si="16"/>
        <v>0</v>
      </c>
      <c r="L30" s="26">
        <f t="shared" si="16"/>
        <v>0</v>
      </c>
      <c r="M30" s="26">
        <f t="shared" si="16"/>
        <v>0</v>
      </c>
      <c r="N30" s="26">
        <f t="shared" si="16"/>
        <v>0</v>
      </c>
      <c r="O30" s="26">
        <f t="shared" si="16"/>
        <v>0</v>
      </c>
      <c r="P30" s="28">
        <f t="shared" si="16"/>
        <v>0</v>
      </c>
      <c r="Q30" s="26">
        <f t="shared" si="16"/>
        <v>0</v>
      </c>
      <c r="R30" s="26">
        <f t="shared" si="16"/>
        <v>0</v>
      </c>
      <c r="S30" s="26">
        <f t="shared" si="16"/>
        <v>0</v>
      </c>
      <c r="T30" s="26">
        <f t="shared" si="16"/>
        <v>0</v>
      </c>
      <c r="U30" s="26">
        <f t="shared" si="16"/>
        <v>0</v>
      </c>
      <c r="V30" s="30">
        <f t="shared" si="16"/>
        <v>0</v>
      </c>
      <c r="W30" s="32">
        <f t="shared" si="16"/>
        <v>0</v>
      </c>
      <c r="X30" s="26">
        <f t="shared" si="16"/>
        <v>0</v>
      </c>
      <c r="Y30" s="26">
        <f t="shared" si="16"/>
        <v>0</v>
      </c>
      <c r="Z30" s="26">
        <f t="shared" si="16"/>
        <v>0</v>
      </c>
      <c r="AA30" s="26">
        <f t="shared" si="16"/>
        <v>0</v>
      </c>
      <c r="AB30" s="26">
        <f t="shared" si="16"/>
        <v>0</v>
      </c>
      <c r="AC30" s="34">
        <f t="shared" si="16"/>
        <v>0</v>
      </c>
    </row>
    <row r="32" spans="1:29" x14ac:dyDescent="0.15">
      <c r="A32" s="56" t="s">
        <v>64</v>
      </c>
      <c r="B32" s="24"/>
      <c r="C32" s="59" t="s">
        <v>41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1"/>
      <c r="Q32" s="62" t="s">
        <v>51</v>
      </c>
      <c r="R32" s="62"/>
      <c r="S32" s="62"/>
      <c r="T32" s="62"/>
      <c r="U32" s="62"/>
      <c r="V32" s="62"/>
      <c r="W32" s="31"/>
      <c r="X32" s="53" t="s">
        <v>53</v>
      </c>
      <c r="Y32" s="54"/>
      <c r="Z32" s="54"/>
      <c r="AA32" s="54"/>
      <c r="AB32" s="55"/>
      <c r="AC32" s="34"/>
    </row>
    <row r="33" spans="1:29" x14ac:dyDescent="0.15">
      <c r="A33" s="57"/>
      <c r="B33" s="24"/>
      <c r="C33" s="24" t="s">
        <v>8</v>
      </c>
      <c r="D33" s="24" t="s">
        <v>10</v>
      </c>
      <c r="E33" s="24" t="s">
        <v>11</v>
      </c>
      <c r="F33" s="24" t="s">
        <v>12</v>
      </c>
      <c r="G33" s="24" t="s">
        <v>13</v>
      </c>
      <c r="H33" s="24" t="s">
        <v>14</v>
      </c>
      <c r="I33" s="24" t="s">
        <v>15</v>
      </c>
      <c r="J33" s="24" t="s">
        <v>17</v>
      </c>
      <c r="K33" s="24" t="s">
        <v>16</v>
      </c>
      <c r="L33" s="24" t="s">
        <v>19</v>
      </c>
      <c r="M33" s="24" t="s">
        <v>20</v>
      </c>
      <c r="N33" s="24" t="s">
        <v>18</v>
      </c>
      <c r="O33" s="24" t="s">
        <v>34</v>
      </c>
      <c r="P33" s="27" t="s">
        <v>40</v>
      </c>
      <c r="Q33" s="24" t="s">
        <v>42</v>
      </c>
      <c r="R33" s="24" t="s">
        <v>43</v>
      </c>
      <c r="S33" s="24" t="s">
        <v>44</v>
      </c>
      <c r="T33" s="24" t="s">
        <v>45</v>
      </c>
      <c r="U33" s="24" t="s">
        <v>46</v>
      </c>
      <c r="V33" s="29" t="s">
        <v>52</v>
      </c>
      <c r="W33" s="31" t="s">
        <v>73</v>
      </c>
      <c r="X33" s="24" t="s">
        <v>21</v>
      </c>
      <c r="Y33" s="24" t="s">
        <v>69</v>
      </c>
      <c r="Z33" s="24" t="s">
        <v>70</v>
      </c>
      <c r="AA33" s="24" t="s">
        <v>53</v>
      </c>
      <c r="AB33" s="50" t="s">
        <v>109</v>
      </c>
      <c r="AC33" s="33" t="s">
        <v>50</v>
      </c>
    </row>
    <row r="34" spans="1:29" x14ac:dyDescent="0.15">
      <c r="A34" s="57"/>
      <c r="B34" s="24" t="s">
        <v>33</v>
      </c>
      <c r="C34" s="22">
        <f>COUNTIF(年間一覧表!$C$36:$I$41,LEFT(月別集計!C$33,1))</f>
        <v>0</v>
      </c>
      <c r="D34" s="22">
        <f>COUNTIF(年間一覧表!$C$36:$G$41,LEFT(月別集計!D$33,1))</f>
        <v>0</v>
      </c>
      <c r="E34" s="22">
        <f>COUNTIF(年間一覧表!$C$36:$G$41,LEFT(月別集計!E$33,1))</f>
        <v>0</v>
      </c>
      <c r="F34" s="22">
        <f>COUNTIF(年間一覧表!$C$36:$G$41,LEFT(月別集計!F$33,1))</f>
        <v>0</v>
      </c>
      <c r="G34" s="22">
        <f>COUNTIF(年間一覧表!$C$36:$G$41,LEFT(月別集計!G$33,1))</f>
        <v>0</v>
      </c>
      <c r="H34" s="22">
        <f>COUNTIF(年間一覧表!$C$36:$G$41,LEFT(月別集計!H$33,1))</f>
        <v>0</v>
      </c>
      <c r="I34" s="22">
        <f>COUNTIF(年間一覧表!$C$36:$G$41,LEFT(月別集計!I$33,1))</f>
        <v>0</v>
      </c>
      <c r="J34" s="22">
        <f>COUNTIF(年間一覧表!$C$36:$G$41,LEFT(月別集計!J$33,1))</f>
        <v>0</v>
      </c>
      <c r="K34" s="22">
        <f>COUNTIF(年間一覧表!$C$36:$G$41,LEFT(月別集計!K$33,1))</f>
        <v>0</v>
      </c>
      <c r="L34" s="22">
        <f>COUNTIF(年間一覧表!$C$36:$G$41,LEFT(月別集計!L$33,1))</f>
        <v>0</v>
      </c>
      <c r="M34" s="22">
        <f>COUNTIF(年間一覧表!$C$36:$G$41,LEFT(月別集計!M$33,1))</f>
        <v>0</v>
      </c>
      <c r="N34" s="22">
        <f>COUNTIF(年間一覧表!$C$36:$G$41,LEFT(月別集計!N$33,1))</f>
        <v>0</v>
      </c>
      <c r="O34" s="22">
        <f>COUNTIF(年間一覧表!$C$36:$G$41,LEFT(月別集計!O$33,1))</f>
        <v>0</v>
      </c>
      <c r="P34" s="28">
        <f>SUM(C34:O34)</f>
        <v>0</v>
      </c>
      <c r="Q34" s="22">
        <f>COUNTIF(年間一覧表!$C$36:$G$41,LEFT(月別集計!Q$33,1))</f>
        <v>0</v>
      </c>
      <c r="R34" s="22">
        <f>COUNTIF(年間一覧表!$C$36:$G$41,RIGHT(月別集計!R$33,1))</f>
        <v>0</v>
      </c>
      <c r="S34" s="22">
        <f>COUNTIF(年間一覧表!$C$36:$G$41,LEFT(月別集計!S$33,1))</f>
        <v>0</v>
      </c>
      <c r="T34" s="22">
        <f>COUNTIF(年間一覧表!$C$36:$G$41,LEFT(月別集計!T$33,1))</f>
        <v>0</v>
      </c>
      <c r="U34" s="22">
        <f>COUNTIF(年間一覧表!$C$36:$G$41,LEFT(月別集計!U$33,1))</f>
        <v>0</v>
      </c>
      <c r="V34" s="30">
        <f>SUM(Q34:U34)</f>
        <v>0</v>
      </c>
      <c r="W34" s="32">
        <f>P34+V34</f>
        <v>0</v>
      </c>
      <c r="X34" s="22">
        <f>COUNTIF(年間一覧表!$C$36:$G$41,LEFT(月別集計!X$33,1))</f>
        <v>0</v>
      </c>
      <c r="Y34" s="22">
        <f>COUNTIF(年間一覧表!$C$36:$G$41,LEFT(月別集計!Y$33,1))</f>
        <v>0</v>
      </c>
      <c r="Z34" s="22">
        <f>COUNTIF(年間一覧表!$C$36:$G$41,LEFT(月別集計!Z$33,1))</f>
        <v>0</v>
      </c>
      <c r="AA34" s="22">
        <f>COUNTIF(年間一覧表!$C$36:$G$41,LEFT(月別集計!AA$33,1))</f>
        <v>0</v>
      </c>
      <c r="AB34" s="22">
        <f>COUNTIF(年間一覧表!$C$36:$G$41,LEFT(月別集計!AB$33,1))</f>
        <v>0</v>
      </c>
      <c r="AC34" s="34">
        <f>SUM(W34:AB34)</f>
        <v>0</v>
      </c>
    </row>
    <row r="35" spans="1:29" x14ac:dyDescent="0.15">
      <c r="A35" s="57"/>
      <c r="B35" s="24" t="s">
        <v>35</v>
      </c>
      <c r="C35" s="22">
        <f>COUNTIF(年間一覧表!$J$36:$P$41,LEFT(月別集計!C$33,1))</f>
        <v>0</v>
      </c>
      <c r="D35" s="22">
        <f>COUNTIF(年間一覧表!$J$36:$N$41,LEFT(月別集計!D$33,1))</f>
        <v>0</v>
      </c>
      <c r="E35" s="22">
        <f>COUNTIF(年間一覧表!$J$36:$N$41,LEFT(月別集計!E$33,1))</f>
        <v>0</v>
      </c>
      <c r="F35" s="22">
        <f>COUNTIF(年間一覧表!$J$36:$N$41,LEFT(月別集計!F$33,1))</f>
        <v>0</v>
      </c>
      <c r="G35" s="22">
        <f>COUNTIF(年間一覧表!$J$36:$N$41,LEFT(月別集計!G$33,1))</f>
        <v>0</v>
      </c>
      <c r="H35" s="22">
        <f>COUNTIF(年間一覧表!$J$36:$N$41,LEFT(月別集計!H$33,1))</f>
        <v>0</v>
      </c>
      <c r="I35" s="22">
        <f>COUNTIF(年間一覧表!$J$36:$N$41,LEFT(月別集計!I$33,1))</f>
        <v>0</v>
      </c>
      <c r="J35" s="22">
        <f>COUNTIF(年間一覧表!$J$36:$N$41,LEFT(月別集計!J$33,1))</f>
        <v>0</v>
      </c>
      <c r="K35" s="22">
        <f>COUNTIF(年間一覧表!$J$36:$N$41,LEFT(月別集計!K$33,1))</f>
        <v>0</v>
      </c>
      <c r="L35" s="22">
        <f>COUNTIF(年間一覧表!$J$36:$N$41,LEFT(月別集計!L$33,1))</f>
        <v>0</v>
      </c>
      <c r="M35" s="22">
        <f>COUNTIF(年間一覧表!$J$36:$N$41,LEFT(月別集計!M$33,1))</f>
        <v>0</v>
      </c>
      <c r="N35" s="22">
        <f>COUNTIF(年間一覧表!$J$36:$N$41,LEFT(月別集計!N$33,1))</f>
        <v>0</v>
      </c>
      <c r="O35" s="22">
        <f>COUNTIF(年間一覧表!$J$36:$N$41,LEFT(月別集計!O$33,1))</f>
        <v>0</v>
      </c>
      <c r="P35" s="28">
        <f t="shared" ref="P35:P39" si="17">SUM(C35:O35)</f>
        <v>0</v>
      </c>
      <c r="Q35" s="22">
        <f>COUNTIF(年間一覧表!$J$36:$N$41,LEFT(月別集計!Q$33,1))</f>
        <v>0</v>
      </c>
      <c r="R35" s="22">
        <f>COUNTIF(年間一覧表!$J$36:$N$41,RIGHT(月別集計!R$33,1))</f>
        <v>0</v>
      </c>
      <c r="S35" s="22">
        <f>COUNTIF(年間一覧表!$J$36:$N$41,LEFT(月別集計!S$33,1))</f>
        <v>0</v>
      </c>
      <c r="T35" s="22">
        <f>COUNTIF(年間一覧表!$J$36:$N$41,LEFT(月別集計!T$33,1))</f>
        <v>0</v>
      </c>
      <c r="U35" s="22">
        <f>COUNTIF(年間一覧表!$J$36:$N$41,LEFT(月別集計!U$33,1))</f>
        <v>0</v>
      </c>
      <c r="V35" s="30">
        <f t="shared" ref="V35:V39" si="18">SUM(Q35:U35)</f>
        <v>0</v>
      </c>
      <c r="W35" s="32">
        <f t="shared" ref="W35:W39" si="19">P35+V35</f>
        <v>0</v>
      </c>
      <c r="X35" s="22">
        <f>COUNTIF(年間一覧表!$J$36:$N$41,LEFT(月別集計!X$33,1))</f>
        <v>0</v>
      </c>
      <c r="Y35" s="22">
        <f>COUNTIF(年間一覧表!$J$36:$N$41,LEFT(月別集計!Y$33,1))</f>
        <v>0</v>
      </c>
      <c r="Z35" s="22">
        <f>COUNTIF(年間一覧表!$J$36:$N$41,LEFT(月別集計!Z$33,1))</f>
        <v>0</v>
      </c>
      <c r="AA35" s="22">
        <f>COUNTIF(年間一覧表!$J$36:$N$41,LEFT(月別集計!AA$33,1))</f>
        <v>0</v>
      </c>
      <c r="AB35" s="22">
        <f>COUNTIF(年間一覧表!$J$36:$N$41,LEFT(月別集計!AB$33,1))</f>
        <v>0</v>
      </c>
      <c r="AC35" s="34">
        <f t="shared" ref="AC35:AC39" si="20">SUM(W35:AB35)</f>
        <v>0</v>
      </c>
    </row>
    <row r="36" spans="1:29" x14ac:dyDescent="0.15">
      <c r="A36" s="57"/>
      <c r="B36" s="24" t="s">
        <v>36</v>
      </c>
      <c r="C36" s="22">
        <f>COUNTIF(年間一覧表!$Q$36:$W$41,LEFT(月別集計!C$33,1))</f>
        <v>0</v>
      </c>
      <c r="D36" s="22">
        <f>COUNTIF(年間一覧表!$Q$36:$U$41,LEFT(月別集計!D$33,1))</f>
        <v>0</v>
      </c>
      <c r="E36" s="22">
        <f>COUNTIF(年間一覧表!$Q$36:$U$41,LEFT(月別集計!E$33,1))</f>
        <v>0</v>
      </c>
      <c r="F36" s="22">
        <f>COUNTIF(年間一覧表!$Q$36:$U$41,LEFT(月別集計!F$33,1))</f>
        <v>0</v>
      </c>
      <c r="G36" s="22">
        <f>COUNTIF(年間一覧表!$Q$36:$U$41,LEFT(月別集計!G$33,1))</f>
        <v>0</v>
      </c>
      <c r="H36" s="22">
        <f>COUNTIF(年間一覧表!$Q$36:$U$41,LEFT(月別集計!H$33,1))</f>
        <v>0</v>
      </c>
      <c r="I36" s="22">
        <f>COUNTIF(年間一覧表!$Q$36:$U$41,LEFT(月別集計!I$33,1))</f>
        <v>0</v>
      </c>
      <c r="J36" s="22">
        <f>COUNTIF(年間一覧表!$Q$36:$U$41,LEFT(月別集計!J$33,1))</f>
        <v>0</v>
      </c>
      <c r="K36" s="22">
        <f>COUNTIF(年間一覧表!$Q$36:$U$41,LEFT(月別集計!K$33,1))</f>
        <v>0</v>
      </c>
      <c r="L36" s="22">
        <f>COUNTIF(年間一覧表!$Q$36:$U$41,LEFT(月別集計!L$33,1))</f>
        <v>0</v>
      </c>
      <c r="M36" s="22">
        <f>COUNTIF(年間一覧表!$Q$36:$U$41,LEFT(月別集計!M$33,1))</f>
        <v>0</v>
      </c>
      <c r="N36" s="22">
        <f>COUNTIF(年間一覧表!$Q$36:$U$41,LEFT(月別集計!N$33,1))</f>
        <v>0</v>
      </c>
      <c r="O36" s="22">
        <f>COUNTIF(年間一覧表!$Q$36:$U$41,LEFT(月別集計!O$33,1))</f>
        <v>0</v>
      </c>
      <c r="P36" s="28">
        <f t="shared" si="17"/>
        <v>0</v>
      </c>
      <c r="Q36" s="22">
        <f>COUNTIF(年間一覧表!$Q$36:$U$41,LEFT(月別集計!Q$33,1))</f>
        <v>0</v>
      </c>
      <c r="R36" s="22">
        <f>COUNTIF(年間一覧表!$Q$36:$U$41,RIGHT(月別集計!R$33,1))</f>
        <v>0</v>
      </c>
      <c r="S36" s="22">
        <f>COUNTIF(年間一覧表!$Q$36:$U$41,LEFT(月別集計!S$33,1))</f>
        <v>0</v>
      </c>
      <c r="T36" s="22">
        <f>COUNTIF(年間一覧表!$Q$36:$U$41,LEFT(月別集計!T$33,1))</f>
        <v>0</v>
      </c>
      <c r="U36" s="22">
        <f>COUNTIF(年間一覧表!$Q$36:$U$41,LEFT(月別集計!U$33,1))</f>
        <v>0</v>
      </c>
      <c r="V36" s="30">
        <f t="shared" si="18"/>
        <v>0</v>
      </c>
      <c r="W36" s="32">
        <f t="shared" si="19"/>
        <v>0</v>
      </c>
      <c r="X36" s="22">
        <f>COUNTIF(年間一覧表!$Q$36:$U$41,LEFT(月別集計!X$33,1))</f>
        <v>0</v>
      </c>
      <c r="Y36" s="22">
        <f>COUNTIF(年間一覧表!$Q$36:$U$41,LEFT(月別集計!Y$33,1))</f>
        <v>0</v>
      </c>
      <c r="Z36" s="22">
        <f>COUNTIF(年間一覧表!$Q$36:$U$41,LEFT(月別集計!Z$33,1))</f>
        <v>0</v>
      </c>
      <c r="AA36" s="22">
        <f>COUNTIF(年間一覧表!$Q$36:$U$41,LEFT(月別集計!AA$33,1))</f>
        <v>0</v>
      </c>
      <c r="AB36" s="22">
        <f>COUNTIF(年間一覧表!$Q$36:$U$41,LEFT(月別集計!AB$33,1))</f>
        <v>0</v>
      </c>
      <c r="AC36" s="34">
        <f t="shared" si="20"/>
        <v>0</v>
      </c>
    </row>
    <row r="37" spans="1:29" x14ac:dyDescent="0.15">
      <c r="A37" s="57"/>
      <c r="B37" s="24" t="s">
        <v>37</v>
      </c>
      <c r="C37" s="22">
        <f>COUNTIF(年間一覧表!$X$36:$AD$41,LEFT(月別集計!C$33,1))</f>
        <v>0</v>
      </c>
      <c r="D37" s="22">
        <f>COUNTIF(年間一覧表!$X$36:$AB$41,LEFT(月別集計!D$33,1))</f>
        <v>0</v>
      </c>
      <c r="E37" s="22">
        <f>COUNTIF(年間一覧表!$X$36:$AB$41,LEFT(月別集計!E$33,1))</f>
        <v>0</v>
      </c>
      <c r="F37" s="22">
        <f>COUNTIF(年間一覧表!$X$36:$AB$41,LEFT(月別集計!F$33,1))</f>
        <v>0</v>
      </c>
      <c r="G37" s="22">
        <f>COUNTIF(年間一覧表!$X$36:$AB$41,LEFT(月別集計!G$33,1))</f>
        <v>0</v>
      </c>
      <c r="H37" s="22">
        <f>COUNTIF(年間一覧表!$X$36:$AB$41,LEFT(月別集計!H$33,1))</f>
        <v>0</v>
      </c>
      <c r="I37" s="22">
        <f>COUNTIF(年間一覧表!$X$36:$AB$41,LEFT(月別集計!I$33,1))</f>
        <v>0</v>
      </c>
      <c r="J37" s="22">
        <f>COUNTIF(年間一覧表!$X$36:$AB$41,LEFT(月別集計!J$33,1))</f>
        <v>0</v>
      </c>
      <c r="K37" s="22">
        <f>COUNTIF(年間一覧表!$X$36:$AB$41,LEFT(月別集計!K$33,1))</f>
        <v>0</v>
      </c>
      <c r="L37" s="22">
        <f>COUNTIF(年間一覧表!$X$36:$AB$41,LEFT(月別集計!L$33,1))</f>
        <v>0</v>
      </c>
      <c r="M37" s="22">
        <f>COUNTIF(年間一覧表!$X$36:$AB$41,LEFT(月別集計!M$33,1))</f>
        <v>0</v>
      </c>
      <c r="N37" s="22">
        <f>COUNTIF(年間一覧表!$X$36:$AB$41,LEFT(月別集計!N$33,1))</f>
        <v>0</v>
      </c>
      <c r="O37" s="22">
        <f>COUNTIF(年間一覧表!$X$36:$AB$41,LEFT(月別集計!O$33,1))</f>
        <v>0</v>
      </c>
      <c r="P37" s="28">
        <f t="shared" si="17"/>
        <v>0</v>
      </c>
      <c r="Q37" s="22">
        <f>COUNTIF(年間一覧表!$X$36:$AB$41,LEFT(月別集計!Q$33,1))</f>
        <v>0</v>
      </c>
      <c r="R37" s="22">
        <f>COUNTIF(年間一覧表!$X$36:$AB$41,RIGHT(月別集計!R$33,1))</f>
        <v>0</v>
      </c>
      <c r="S37" s="22">
        <f>COUNTIF(年間一覧表!$X$36:$AB$41,LEFT(月別集計!S$33,1))</f>
        <v>0</v>
      </c>
      <c r="T37" s="22">
        <f>COUNTIF(年間一覧表!$X$36:$AB$41,LEFT(月別集計!T$33,1))</f>
        <v>0</v>
      </c>
      <c r="U37" s="22">
        <f>COUNTIF(年間一覧表!$X$36:$AB$41,LEFT(月別集計!U$33,1))</f>
        <v>0</v>
      </c>
      <c r="V37" s="30">
        <f t="shared" si="18"/>
        <v>0</v>
      </c>
      <c r="W37" s="32">
        <f t="shared" si="19"/>
        <v>0</v>
      </c>
      <c r="X37" s="22">
        <f>COUNTIF(年間一覧表!$X$36:$AB$41,LEFT(月別集計!X$33,1))</f>
        <v>0</v>
      </c>
      <c r="Y37" s="22">
        <f>COUNTIF(年間一覧表!$X$36:$AB$41,LEFT(月別集計!Y$33,1))</f>
        <v>0</v>
      </c>
      <c r="Z37" s="22">
        <f>COUNTIF(年間一覧表!$X$36:$AB$41,LEFT(月別集計!Z$33,1))</f>
        <v>0</v>
      </c>
      <c r="AA37" s="22">
        <f>COUNTIF(年間一覧表!$X$36:$AB$41,LEFT(月別集計!AA$33,1))</f>
        <v>0</v>
      </c>
      <c r="AB37" s="22">
        <f>COUNTIF(年間一覧表!$X$36:$AB$41,LEFT(月別集計!AB$33,1))</f>
        <v>0</v>
      </c>
      <c r="AC37" s="34">
        <f t="shared" si="20"/>
        <v>0</v>
      </c>
    </row>
    <row r="38" spans="1:29" x14ac:dyDescent="0.15">
      <c r="A38" s="57"/>
      <c r="B38" s="24" t="s">
        <v>38</v>
      </c>
      <c r="C38" s="22">
        <f>COUNTIF(年間一覧表!$AE$36:$AK$41,LEFT(月別集計!C$33,1))</f>
        <v>0</v>
      </c>
      <c r="D38" s="22">
        <f>COUNTIF(年間一覧表!$AE$36:$AI$41,LEFT(月別集計!D$33,1))</f>
        <v>0</v>
      </c>
      <c r="E38" s="22">
        <f>COUNTIF(年間一覧表!$AE$36:$AI$41,LEFT(月別集計!E$33,1))</f>
        <v>0</v>
      </c>
      <c r="F38" s="22">
        <f>COUNTIF(年間一覧表!$AE$36:$AI$41,LEFT(月別集計!F$33,1))</f>
        <v>0</v>
      </c>
      <c r="G38" s="22">
        <f>COUNTIF(年間一覧表!$AE$36:$AI$41,LEFT(月別集計!G$33,1))</f>
        <v>0</v>
      </c>
      <c r="H38" s="22">
        <f>COUNTIF(年間一覧表!$AE$36:$AI$41,LEFT(月別集計!H$33,1))</f>
        <v>0</v>
      </c>
      <c r="I38" s="22">
        <f>COUNTIF(年間一覧表!$AE$36:$AI$41,LEFT(月別集計!I$33,1))</f>
        <v>0</v>
      </c>
      <c r="J38" s="22">
        <f>COUNTIF(年間一覧表!$AE$36:$AI$41,LEFT(月別集計!J$33,1))</f>
        <v>0</v>
      </c>
      <c r="K38" s="22">
        <f>COUNTIF(年間一覧表!$AE$36:$AI$41,LEFT(月別集計!K$33,1))</f>
        <v>0</v>
      </c>
      <c r="L38" s="22">
        <f>COUNTIF(年間一覧表!$AE$36:$AI$41,LEFT(月別集計!L$33,1))</f>
        <v>0</v>
      </c>
      <c r="M38" s="22">
        <f>COUNTIF(年間一覧表!$AE$36:$AI$41,LEFT(月別集計!M$33,1))</f>
        <v>0</v>
      </c>
      <c r="N38" s="22">
        <f>COUNTIF(年間一覧表!$AE$36:$AI$41,LEFT(月別集計!N$33,1))</f>
        <v>0</v>
      </c>
      <c r="O38" s="22">
        <f>COUNTIF(年間一覧表!$AE$36:$AI$41,LEFT(月別集計!O$33,1))</f>
        <v>0</v>
      </c>
      <c r="P38" s="28">
        <f t="shared" si="17"/>
        <v>0</v>
      </c>
      <c r="Q38" s="22">
        <f>COUNTIF(年間一覧表!$AE$36:$AI$41,LEFT(月別集計!Q$33,1))</f>
        <v>0</v>
      </c>
      <c r="R38" s="22">
        <f>COUNTIF(年間一覧表!$AE$36:$AI$41,RIGHT(月別集計!R$33,1))</f>
        <v>0</v>
      </c>
      <c r="S38" s="22">
        <f>COUNTIF(年間一覧表!$AE$36:$AI$41,LEFT(月別集計!S$33,1))</f>
        <v>0</v>
      </c>
      <c r="T38" s="22">
        <f>COUNTIF(年間一覧表!$AE$36:$AI$41,LEFT(月別集計!T$33,1))</f>
        <v>0</v>
      </c>
      <c r="U38" s="22">
        <f>COUNTIF(年間一覧表!$AE$36:$AI$41,LEFT(月別集計!U$33,1))</f>
        <v>0</v>
      </c>
      <c r="V38" s="30">
        <f t="shared" si="18"/>
        <v>0</v>
      </c>
      <c r="W38" s="32">
        <f t="shared" si="19"/>
        <v>0</v>
      </c>
      <c r="X38" s="22">
        <f>COUNTIF(年間一覧表!$AE$36:$AI$41,LEFT(月別集計!X$33,1))</f>
        <v>0</v>
      </c>
      <c r="Y38" s="22">
        <f>COUNTIF(年間一覧表!$AE$36:$AI$41,LEFT(月別集計!Y$33,1))</f>
        <v>0</v>
      </c>
      <c r="Z38" s="22">
        <f>COUNTIF(年間一覧表!$AE$36:$AI$41,LEFT(月別集計!Z$33,1))</f>
        <v>0</v>
      </c>
      <c r="AA38" s="22">
        <f>COUNTIF(年間一覧表!$AE$36:$AI$41,LEFT(月別集計!AA$33,1))</f>
        <v>0</v>
      </c>
      <c r="AB38" s="22">
        <f>COUNTIF(年間一覧表!$AE$36:$AI$41,LEFT(月別集計!AB$33,1))</f>
        <v>0</v>
      </c>
      <c r="AC38" s="34">
        <f t="shared" si="20"/>
        <v>0</v>
      </c>
    </row>
    <row r="39" spans="1:29" x14ac:dyDescent="0.15">
      <c r="A39" s="57"/>
      <c r="B39" s="24" t="s">
        <v>39</v>
      </c>
      <c r="C39" s="22">
        <f>COUNTIF(年間一覧表!$AL$36:$AM$41,LEFT(月別集計!C$33,1))</f>
        <v>0</v>
      </c>
      <c r="D39" s="22">
        <f>COUNTIF(年間一覧表!$AL$36:$AM$41,LEFT(月別集計!D$33,1))</f>
        <v>0</v>
      </c>
      <c r="E39" s="22">
        <f>COUNTIF(年間一覧表!$AL$36:$AM$41,LEFT(月別集計!E$33,1))</f>
        <v>0</v>
      </c>
      <c r="F39" s="22">
        <f>COUNTIF(年間一覧表!$AL$36:$AM$41,LEFT(月別集計!F$33,1))</f>
        <v>0</v>
      </c>
      <c r="G39" s="22">
        <f>COUNTIF(年間一覧表!$AL$36:$AM$41,LEFT(月別集計!G$33,1))</f>
        <v>0</v>
      </c>
      <c r="H39" s="22">
        <f>COUNTIF(年間一覧表!$AL$36:$AM$41,LEFT(月別集計!H$33,1))</f>
        <v>0</v>
      </c>
      <c r="I39" s="22">
        <f>COUNTIF(年間一覧表!$AL$36:$AM$41,LEFT(月別集計!I$33,1))</f>
        <v>0</v>
      </c>
      <c r="J39" s="22">
        <f>COUNTIF(年間一覧表!$AL$36:$AM$41,LEFT(月別集計!J$33,1))</f>
        <v>0</v>
      </c>
      <c r="K39" s="22">
        <f>COUNTIF(年間一覧表!$AL$36:$AM$41,LEFT(月別集計!K$33,1))</f>
        <v>0</v>
      </c>
      <c r="L39" s="22">
        <f>COUNTIF(年間一覧表!$AL$36:$AM$41,LEFT(月別集計!L$33,1))</f>
        <v>0</v>
      </c>
      <c r="M39" s="22">
        <f>COUNTIF(年間一覧表!$AL$36:$AM$41,LEFT(月別集計!M$33,1))</f>
        <v>0</v>
      </c>
      <c r="N39" s="22">
        <f>COUNTIF(年間一覧表!$AL$36:$AM$41,LEFT(月別集計!N$33,1))</f>
        <v>0</v>
      </c>
      <c r="O39" s="22">
        <f>COUNTIF(年間一覧表!$AL$36:$AM$41,LEFT(月別集計!O$33,1))</f>
        <v>0</v>
      </c>
      <c r="P39" s="28">
        <f t="shared" si="17"/>
        <v>0</v>
      </c>
      <c r="Q39" s="22">
        <f>COUNTIF(年間一覧表!$AL$36:$AM$41,LEFT(月別集計!Q$33,1))</f>
        <v>0</v>
      </c>
      <c r="R39" s="22">
        <f>COUNTIF(年間一覧表!$AL$36:$AM$41,RIGHT(月別集計!R$33,1))</f>
        <v>0</v>
      </c>
      <c r="S39" s="22">
        <f>COUNTIF(年間一覧表!$AL$36:$AM$41,LEFT(月別集計!S$33,1))</f>
        <v>0</v>
      </c>
      <c r="T39" s="22">
        <f>COUNTIF(年間一覧表!$AL$36:$AM$41,LEFT(月別集計!T$33,1))</f>
        <v>0</v>
      </c>
      <c r="U39" s="22">
        <f>COUNTIF(年間一覧表!$AL$36:$AM$41,LEFT(月別集計!U$33,1))</f>
        <v>0</v>
      </c>
      <c r="V39" s="30">
        <f t="shared" si="18"/>
        <v>0</v>
      </c>
      <c r="W39" s="32">
        <f t="shared" si="19"/>
        <v>0</v>
      </c>
      <c r="X39" s="22">
        <f>COUNTIF(年間一覧表!$AL$36:$AM$41,LEFT(月別集計!X$33,1))</f>
        <v>0</v>
      </c>
      <c r="Y39" s="22">
        <f>COUNTIF(年間一覧表!$AL$36:$AM$41,LEFT(月別集計!Y$33,1))</f>
        <v>0</v>
      </c>
      <c r="Z39" s="22">
        <f>COUNTIF(年間一覧表!$AL$36:$AM$41,LEFT(月別集計!Z$33,1))</f>
        <v>0</v>
      </c>
      <c r="AA39" s="22">
        <f>COUNTIF(年間一覧表!$AL$36:$AM$41,LEFT(月別集計!AA$33,1))</f>
        <v>0</v>
      </c>
      <c r="AB39" s="22">
        <f>COUNTIF(年間一覧表!$AL$36:$AM$41,LEFT(月別集計!AB$33,1))</f>
        <v>0</v>
      </c>
      <c r="AC39" s="34">
        <f t="shared" si="20"/>
        <v>0</v>
      </c>
    </row>
    <row r="40" spans="1:29" x14ac:dyDescent="0.15">
      <c r="A40" s="58"/>
      <c r="B40" s="24" t="s">
        <v>40</v>
      </c>
      <c r="C40" s="26">
        <f>SUM(C34:C39)</f>
        <v>0</v>
      </c>
      <c r="D40" s="26">
        <f t="shared" ref="D40:AC40" si="21">SUM(D34:D39)</f>
        <v>0</v>
      </c>
      <c r="E40" s="26">
        <f t="shared" si="21"/>
        <v>0</v>
      </c>
      <c r="F40" s="26">
        <f t="shared" si="21"/>
        <v>0</v>
      </c>
      <c r="G40" s="26">
        <f t="shared" si="21"/>
        <v>0</v>
      </c>
      <c r="H40" s="26">
        <f t="shared" si="21"/>
        <v>0</v>
      </c>
      <c r="I40" s="26">
        <f t="shared" si="21"/>
        <v>0</v>
      </c>
      <c r="J40" s="26">
        <f t="shared" si="21"/>
        <v>0</v>
      </c>
      <c r="K40" s="26">
        <f t="shared" si="21"/>
        <v>0</v>
      </c>
      <c r="L40" s="26">
        <f t="shared" si="21"/>
        <v>0</v>
      </c>
      <c r="M40" s="26">
        <f t="shared" si="21"/>
        <v>0</v>
      </c>
      <c r="N40" s="26">
        <f t="shared" si="21"/>
        <v>0</v>
      </c>
      <c r="O40" s="26">
        <f t="shared" si="21"/>
        <v>0</v>
      </c>
      <c r="P40" s="28">
        <f t="shared" si="21"/>
        <v>0</v>
      </c>
      <c r="Q40" s="26">
        <f t="shared" si="21"/>
        <v>0</v>
      </c>
      <c r="R40" s="26">
        <f t="shared" si="21"/>
        <v>0</v>
      </c>
      <c r="S40" s="26">
        <f t="shared" si="21"/>
        <v>0</v>
      </c>
      <c r="T40" s="26">
        <f t="shared" si="21"/>
        <v>0</v>
      </c>
      <c r="U40" s="26">
        <f t="shared" si="21"/>
        <v>0</v>
      </c>
      <c r="V40" s="30">
        <f t="shared" si="21"/>
        <v>0</v>
      </c>
      <c r="W40" s="32">
        <f t="shared" si="21"/>
        <v>0</v>
      </c>
      <c r="X40" s="26">
        <f t="shared" si="21"/>
        <v>0</v>
      </c>
      <c r="Y40" s="26">
        <f t="shared" si="21"/>
        <v>0</v>
      </c>
      <c r="Z40" s="26">
        <f t="shared" si="21"/>
        <v>0</v>
      </c>
      <c r="AA40" s="26">
        <f t="shared" si="21"/>
        <v>0</v>
      </c>
      <c r="AB40" s="26">
        <f t="shared" si="21"/>
        <v>0</v>
      </c>
      <c r="AC40" s="34">
        <f t="shared" si="21"/>
        <v>0</v>
      </c>
    </row>
    <row r="42" spans="1:29" x14ac:dyDescent="0.15">
      <c r="A42" s="56" t="s">
        <v>65</v>
      </c>
      <c r="B42" s="24"/>
      <c r="C42" s="59" t="s">
        <v>41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  <c r="Q42" s="62" t="s">
        <v>51</v>
      </c>
      <c r="R42" s="62"/>
      <c r="S42" s="62"/>
      <c r="T42" s="62"/>
      <c r="U42" s="62"/>
      <c r="V42" s="62"/>
      <c r="W42" s="31"/>
      <c r="X42" s="53" t="s">
        <v>53</v>
      </c>
      <c r="Y42" s="54"/>
      <c r="Z42" s="54"/>
      <c r="AA42" s="54"/>
      <c r="AB42" s="55"/>
      <c r="AC42" s="34"/>
    </row>
    <row r="43" spans="1:29" x14ac:dyDescent="0.15">
      <c r="A43" s="57"/>
      <c r="B43" s="24"/>
      <c r="C43" s="24" t="s">
        <v>8</v>
      </c>
      <c r="D43" s="24" t="s">
        <v>10</v>
      </c>
      <c r="E43" s="24" t="s">
        <v>11</v>
      </c>
      <c r="F43" s="24" t="s">
        <v>12</v>
      </c>
      <c r="G43" s="24" t="s">
        <v>13</v>
      </c>
      <c r="H43" s="24" t="s">
        <v>14</v>
      </c>
      <c r="I43" s="24" t="s">
        <v>15</v>
      </c>
      <c r="J43" s="24" t="s">
        <v>17</v>
      </c>
      <c r="K43" s="24" t="s">
        <v>16</v>
      </c>
      <c r="L43" s="24" t="s">
        <v>19</v>
      </c>
      <c r="M43" s="24" t="s">
        <v>20</v>
      </c>
      <c r="N43" s="24" t="s">
        <v>18</v>
      </c>
      <c r="O43" s="24" t="s">
        <v>34</v>
      </c>
      <c r="P43" s="27" t="s">
        <v>40</v>
      </c>
      <c r="Q43" s="24" t="s">
        <v>42</v>
      </c>
      <c r="R43" s="24" t="s">
        <v>43</v>
      </c>
      <c r="S43" s="24" t="s">
        <v>44</v>
      </c>
      <c r="T43" s="24" t="s">
        <v>45</v>
      </c>
      <c r="U43" s="24" t="s">
        <v>46</v>
      </c>
      <c r="V43" s="29" t="s">
        <v>52</v>
      </c>
      <c r="W43" s="31" t="s">
        <v>73</v>
      </c>
      <c r="X43" s="24" t="s">
        <v>21</v>
      </c>
      <c r="Y43" s="24" t="s">
        <v>69</v>
      </c>
      <c r="Z43" s="24" t="s">
        <v>70</v>
      </c>
      <c r="AA43" s="24" t="s">
        <v>53</v>
      </c>
      <c r="AB43" s="50" t="s">
        <v>109</v>
      </c>
      <c r="AC43" s="33" t="s">
        <v>50</v>
      </c>
    </row>
    <row r="44" spans="1:29" x14ac:dyDescent="0.15">
      <c r="A44" s="57"/>
      <c r="B44" s="24" t="s">
        <v>33</v>
      </c>
      <c r="C44" s="22">
        <f>COUNTIF(年間一覧表!$C$46:$I$51,LEFT(月別集計!C$43,1))</f>
        <v>0</v>
      </c>
      <c r="D44" s="22">
        <f>COUNTIF(年間一覧表!$C$46:$I$51,LEFT(月別集計!D$43,1))</f>
        <v>0</v>
      </c>
      <c r="E44" s="22">
        <f>COUNTIF(年間一覧表!$C$46:$I$51,LEFT(月別集計!E$43,1))</f>
        <v>0</v>
      </c>
      <c r="F44" s="22">
        <f>COUNTIF(年間一覧表!$C$46:$I$51,LEFT(月別集計!F$43,1))</f>
        <v>0</v>
      </c>
      <c r="G44" s="22">
        <f>COUNTIF(年間一覧表!$C$46:$I$51,LEFT(月別集計!G$43,1))</f>
        <v>0</v>
      </c>
      <c r="H44" s="22">
        <f>COUNTIF(年間一覧表!$C$46:$I$51,LEFT(月別集計!H$43,1))</f>
        <v>0</v>
      </c>
      <c r="I44" s="22">
        <f>COUNTIF(年間一覧表!$C$46:$I$51,LEFT(月別集計!I$43,1))</f>
        <v>0</v>
      </c>
      <c r="J44" s="22">
        <f>COUNTIF(年間一覧表!$C$46:$I$51,LEFT(月別集計!J$43,1))</f>
        <v>0</v>
      </c>
      <c r="K44" s="22">
        <f>COUNTIF(年間一覧表!$C$46:$I$51,LEFT(月別集計!K$43,1))</f>
        <v>0</v>
      </c>
      <c r="L44" s="22">
        <f>COUNTIF(年間一覧表!$C$46:$I$51,LEFT(月別集計!L$43,1))</f>
        <v>0</v>
      </c>
      <c r="M44" s="22">
        <f>COUNTIF(年間一覧表!$C$46:$I$51,LEFT(月別集計!M$43,1))</f>
        <v>0</v>
      </c>
      <c r="N44" s="22">
        <f>COUNTIF(年間一覧表!$C$46:$I$51,LEFT(月別集計!N$43,1))</f>
        <v>0</v>
      </c>
      <c r="O44" s="22">
        <f>COUNTIF(年間一覧表!$C$46:$I$51,LEFT(月別集計!O$43,1))</f>
        <v>0</v>
      </c>
      <c r="P44" s="28">
        <f>SUM(C44:O44)</f>
        <v>0</v>
      </c>
      <c r="Q44" s="22">
        <f>COUNTIF(年間一覧表!$C$46:$I$51,LEFT(月別集計!Q$43,1))</f>
        <v>0</v>
      </c>
      <c r="R44" s="22">
        <f>COUNTIF(年間一覧表!$C$46:$I$51,RIGHT(月別集計!R$43,1))</f>
        <v>0</v>
      </c>
      <c r="S44" s="22">
        <f>COUNTIF(年間一覧表!$C$46:$I$51,LEFT(月別集計!S$43,1))</f>
        <v>0</v>
      </c>
      <c r="T44" s="22">
        <f>COUNTIF(年間一覧表!$C$46:$I$51,LEFT(月別集計!T$43,1))</f>
        <v>0</v>
      </c>
      <c r="U44" s="22">
        <f>COUNTIF(年間一覧表!$C$46:$I$51,LEFT(月別集計!U$43,1))</f>
        <v>0</v>
      </c>
      <c r="V44" s="30">
        <f>SUM(Q44:U44)</f>
        <v>0</v>
      </c>
      <c r="W44" s="32">
        <f>P44+V44</f>
        <v>0</v>
      </c>
      <c r="X44" s="22">
        <f>COUNTIF(年間一覧表!$C$46:$I$51,LEFT(月別集計!X$43,1))</f>
        <v>0</v>
      </c>
      <c r="Y44" s="22">
        <f>COUNTIF(年間一覧表!$C$46:$I$51,LEFT(月別集計!Y$43,1))</f>
        <v>0</v>
      </c>
      <c r="Z44" s="22">
        <f>COUNTIF(年間一覧表!$C$46:$I$51,LEFT(月別集計!Z$43,1))</f>
        <v>0</v>
      </c>
      <c r="AA44" s="22">
        <f>COUNTIF(年間一覧表!$C$46:$I$51,LEFT(月別集計!AA$43,1))</f>
        <v>0</v>
      </c>
      <c r="AB44" s="22">
        <f>COUNTIF(年間一覧表!$C$46:$I$51,LEFT(月別集計!AB$43,1))</f>
        <v>0</v>
      </c>
      <c r="AC44" s="34">
        <f>SUM(W44:AB44)</f>
        <v>0</v>
      </c>
    </row>
    <row r="45" spans="1:29" x14ac:dyDescent="0.15">
      <c r="A45" s="57"/>
      <c r="B45" s="24" t="s">
        <v>35</v>
      </c>
      <c r="C45" s="22">
        <f>COUNTIF(年間一覧表!$J$46:$P$51,LEFT(月別集計!C$43,1))</f>
        <v>0</v>
      </c>
      <c r="D45" s="22">
        <f>COUNTIF(年間一覧表!$J$46:$P$51,LEFT(月別集計!D$43,1))</f>
        <v>0</v>
      </c>
      <c r="E45" s="22">
        <f>COUNTIF(年間一覧表!$J$46:$P$51,LEFT(月別集計!E$43,1))</f>
        <v>0</v>
      </c>
      <c r="F45" s="22">
        <f>COUNTIF(年間一覧表!$J$46:$P$51,LEFT(月別集計!F$43,1))</f>
        <v>0</v>
      </c>
      <c r="G45" s="22">
        <f>COUNTIF(年間一覧表!$J$46:$P$51,LEFT(月別集計!G$43,1))</f>
        <v>0</v>
      </c>
      <c r="H45" s="22">
        <f>COUNTIF(年間一覧表!$J$46:$P$51,LEFT(月別集計!H$43,1))</f>
        <v>0</v>
      </c>
      <c r="I45" s="22">
        <f>COUNTIF(年間一覧表!$J$46:$P$51,LEFT(月別集計!I$43,1))</f>
        <v>0</v>
      </c>
      <c r="J45" s="22">
        <f>COUNTIF(年間一覧表!$J$46:$P$51,LEFT(月別集計!J$43,1))</f>
        <v>0</v>
      </c>
      <c r="K45" s="22">
        <f>COUNTIF(年間一覧表!$J$46:$P$51,LEFT(月別集計!K$43,1))</f>
        <v>0</v>
      </c>
      <c r="L45" s="22">
        <f>COUNTIF(年間一覧表!$J$46:$P$51,LEFT(月別集計!L$43,1))</f>
        <v>0</v>
      </c>
      <c r="M45" s="22">
        <f>COUNTIF(年間一覧表!$J$46:$P$51,LEFT(月別集計!M$43,1))</f>
        <v>0</v>
      </c>
      <c r="N45" s="22">
        <f>COUNTIF(年間一覧表!$J$46:$P$51,LEFT(月別集計!N$43,1))</f>
        <v>0</v>
      </c>
      <c r="O45" s="22">
        <f>COUNTIF(年間一覧表!$J$46:$P$51,LEFT(月別集計!O$43,1))</f>
        <v>0</v>
      </c>
      <c r="P45" s="28">
        <f t="shared" ref="P45:P49" si="22">SUM(C45:O45)</f>
        <v>0</v>
      </c>
      <c r="Q45" s="22">
        <f>COUNTIF(年間一覧表!$J$46:$P$51,LEFT(月別集計!Q$43,1))</f>
        <v>0</v>
      </c>
      <c r="R45" s="22">
        <f>COUNTIF(年間一覧表!$J$46:$P$51,RIGHT(月別集計!R$43,1))</f>
        <v>0</v>
      </c>
      <c r="S45" s="22">
        <f>COUNTIF(年間一覧表!$J$46:$P$51,LEFT(月別集計!S$43,1))</f>
        <v>0</v>
      </c>
      <c r="T45" s="22">
        <f>COUNTIF(年間一覧表!$J$46:$P$51,LEFT(月別集計!T$43,1))</f>
        <v>0</v>
      </c>
      <c r="U45" s="22">
        <f>COUNTIF(年間一覧表!$J$46:$P$51,LEFT(月別集計!U$43,1))</f>
        <v>0</v>
      </c>
      <c r="V45" s="30">
        <f t="shared" ref="V45:V49" si="23">SUM(Q45:U45)</f>
        <v>0</v>
      </c>
      <c r="W45" s="32">
        <f t="shared" ref="W45:W49" si="24">P45+V45</f>
        <v>0</v>
      </c>
      <c r="X45" s="22">
        <f>COUNTIF(年間一覧表!$J$46:$P$51,LEFT(月別集計!X$43,1))</f>
        <v>0</v>
      </c>
      <c r="Y45" s="22">
        <f>COUNTIF(年間一覧表!$J$46:$P$51,LEFT(月別集計!Y$43,1))</f>
        <v>0</v>
      </c>
      <c r="Z45" s="22">
        <f>COUNTIF(年間一覧表!$J$46:$P$51,LEFT(月別集計!Z$43,1))</f>
        <v>0</v>
      </c>
      <c r="AA45" s="22">
        <f>COUNTIF(年間一覧表!$J$46:$P$51,LEFT(月別集計!AA$43,1))</f>
        <v>0</v>
      </c>
      <c r="AB45" s="22">
        <f>COUNTIF(年間一覧表!$J$46:$P$51,LEFT(月別集計!AB$43,1))</f>
        <v>0</v>
      </c>
      <c r="AC45" s="34">
        <f t="shared" ref="AC45:AC49" si="25">SUM(W45:AB45)</f>
        <v>0</v>
      </c>
    </row>
    <row r="46" spans="1:29" x14ac:dyDescent="0.15">
      <c r="A46" s="57"/>
      <c r="B46" s="24" t="s">
        <v>36</v>
      </c>
      <c r="C46" s="22">
        <f>COUNTIF(年間一覧表!$Q$46:$W$51,LEFT(月別集計!C$43,1))</f>
        <v>0</v>
      </c>
      <c r="D46" s="22">
        <f>COUNTIF(年間一覧表!$Q$46:$W$51,LEFT(月別集計!D$43,1))</f>
        <v>0</v>
      </c>
      <c r="E46" s="22">
        <f>COUNTIF(年間一覧表!$Q$46:$W$51,LEFT(月別集計!E$43,1))</f>
        <v>0</v>
      </c>
      <c r="F46" s="22">
        <f>COUNTIF(年間一覧表!$Q$46:$W$51,LEFT(月別集計!F$43,1))</f>
        <v>0</v>
      </c>
      <c r="G46" s="22">
        <f>COUNTIF(年間一覧表!$Q$46:$W$51,LEFT(月別集計!G$43,1))</f>
        <v>0</v>
      </c>
      <c r="H46" s="22">
        <f>COUNTIF(年間一覧表!$Q$46:$W$51,LEFT(月別集計!H$43,1))</f>
        <v>0</v>
      </c>
      <c r="I46" s="22">
        <f>COUNTIF(年間一覧表!$Q$46:$W$51,LEFT(月別集計!I$43,1))</f>
        <v>0</v>
      </c>
      <c r="J46" s="22">
        <f>COUNTIF(年間一覧表!$Q$46:$W$51,LEFT(月別集計!J$43,1))</f>
        <v>0</v>
      </c>
      <c r="K46" s="22">
        <f>COUNTIF(年間一覧表!$Q$46:$W$51,LEFT(月別集計!K$43,1))</f>
        <v>0</v>
      </c>
      <c r="L46" s="22">
        <f>COUNTIF(年間一覧表!$Q$46:$W$51,LEFT(月別集計!L$43,1))</f>
        <v>0</v>
      </c>
      <c r="M46" s="22">
        <f>COUNTIF(年間一覧表!$Q$46:$W$51,LEFT(月別集計!M$43,1))</f>
        <v>0</v>
      </c>
      <c r="N46" s="22">
        <f>COUNTIF(年間一覧表!$Q$46:$W$51,LEFT(月別集計!N$43,1))</f>
        <v>0</v>
      </c>
      <c r="O46" s="22">
        <f>COUNTIF(年間一覧表!$Q$46:$W$51,LEFT(月別集計!O$43,1))</f>
        <v>0</v>
      </c>
      <c r="P46" s="28">
        <f t="shared" si="22"/>
        <v>0</v>
      </c>
      <c r="Q46" s="22">
        <f>COUNTIF(年間一覧表!$Q$46:$W$51,LEFT(月別集計!Q$43,1))</f>
        <v>0</v>
      </c>
      <c r="R46" s="22">
        <f>COUNTIF(年間一覧表!$Q$46:$W$51,RIGHT(月別集計!R$43,1))</f>
        <v>0</v>
      </c>
      <c r="S46" s="22">
        <f>COUNTIF(年間一覧表!$Q$46:$W$51,LEFT(月別集計!S$43,1))</f>
        <v>0</v>
      </c>
      <c r="T46" s="22">
        <f>COUNTIF(年間一覧表!$Q$46:$W$51,LEFT(月別集計!T$43,1))</f>
        <v>0</v>
      </c>
      <c r="U46" s="22">
        <f>COUNTIF(年間一覧表!$Q$46:$W$51,LEFT(月別集計!U$43,1))</f>
        <v>0</v>
      </c>
      <c r="V46" s="30">
        <f t="shared" si="23"/>
        <v>0</v>
      </c>
      <c r="W46" s="32">
        <f t="shared" si="24"/>
        <v>0</v>
      </c>
      <c r="X46" s="22">
        <f>COUNTIF(年間一覧表!$Q$46:$W$51,LEFT(月別集計!X$43,1))</f>
        <v>0</v>
      </c>
      <c r="Y46" s="22">
        <f>COUNTIF(年間一覧表!$Q$46:$W$51,LEFT(月別集計!Y$43,1))</f>
        <v>0</v>
      </c>
      <c r="Z46" s="22">
        <f>COUNTIF(年間一覧表!$Q$46:$W$51,LEFT(月別集計!Z$43,1))</f>
        <v>0</v>
      </c>
      <c r="AA46" s="22">
        <f>COUNTIF(年間一覧表!$Q$46:$W$51,LEFT(月別集計!AA$43,1))</f>
        <v>0</v>
      </c>
      <c r="AB46" s="22">
        <f>COUNTIF(年間一覧表!$Q$46:$W$51,LEFT(月別集計!AB$43,1))</f>
        <v>0</v>
      </c>
      <c r="AC46" s="34">
        <f t="shared" si="25"/>
        <v>0</v>
      </c>
    </row>
    <row r="47" spans="1:29" x14ac:dyDescent="0.15">
      <c r="A47" s="57"/>
      <c r="B47" s="24" t="s">
        <v>37</v>
      </c>
      <c r="C47" s="22">
        <f>COUNTIF(年間一覧表!$X$46:$AD$51,LEFT(月別集計!C$43,1))</f>
        <v>0</v>
      </c>
      <c r="D47" s="22">
        <f>COUNTIF(年間一覧表!$X$46:$AD$51,LEFT(月別集計!D$43,1))</f>
        <v>0</v>
      </c>
      <c r="E47" s="22">
        <f>COUNTIF(年間一覧表!$X$46:$AD$51,LEFT(月別集計!E$43,1))</f>
        <v>0</v>
      </c>
      <c r="F47" s="22">
        <f>COUNTIF(年間一覧表!$X$46:$AD$51,LEFT(月別集計!F$43,1))</f>
        <v>0</v>
      </c>
      <c r="G47" s="22">
        <f>COUNTIF(年間一覧表!$X$46:$AD$51,LEFT(月別集計!G$43,1))</f>
        <v>0</v>
      </c>
      <c r="H47" s="22">
        <f>COUNTIF(年間一覧表!$X$46:$AD$51,LEFT(月別集計!H$43,1))</f>
        <v>0</v>
      </c>
      <c r="I47" s="22">
        <f>COUNTIF(年間一覧表!$X$46:$AD$51,LEFT(月別集計!I$43,1))</f>
        <v>0</v>
      </c>
      <c r="J47" s="22">
        <f>COUNTIF(年間一覧表!$X$46:$AD$51,LEFT(月別集計!J$43,1))</f>
        <v>0</v>
      </c>
      <c r="K47" s="22">
        <f>COUNTIF(年間一覧表!$X$46:$AD$51,LEFT(月別集計!K$43,1))</f>
        <v>0</v>
      </c>
      <c r="L47" s="22">
        <f>COUNTIF(年間一覧表!$X$46:$AD$51,LEFT(月別集計!L$43,1))</f>
        <v>0</v>
      </c>
      <c r="M47" s="22">
        <f>COUNTIF(年間一覧表!$X$46:$AD$51,LEFT(月別集計!M$43,1))</f>
        <v>0</v>
      </c>
      <c r="N47" s="22">
        <f>COUNTIF(年間一覧表!$X$46:$AD$51,LEFT(月別集計!N$43,1))</f>
        <v>0</v>
      </c>
      <c r="O47" s="22">
        <f>COUNTIF(年間一覧表!$X$46:$AD$51,LEFT(月別集計!O$43,1))</f>
        <v>0</v>
      </c>
      <c r="P47" s="28">
        <f t="shared" si="22"/>
        <v>0</v>
      </c>
      <c r="Q47" s="22">
        <f>COUNTIF(年間一覧表!$X$46:$AD$51,LEFT(月別集計!Q$43,1))</f>
        <v>0</v>
      </c>
      <c r="R47" s="22">
        <f>COUNTIF(年間一覧表!$X$46:$AD$51,RIGHT(月別集計!R$43,1))</f>
        <v>0</v>
      </c>
      <c r="S47" s="22">
        <f>COUNTIF(年間一覧表!$X$46:$AD$51,LEFT(月別集計!S$43,1))</f>
        <v>0</v>
      </c>
      <c r="T47" s="22">
        <f>COUNTIF(年間一覧表!$X$46:$AD$51,LEFT(月別集計!T$43,1))</f>
        <v>0</v>
      </c>
      <c r="U47" s="22">
        <f>COUNTIF(年間一覧表!$X$46:$AD$51,LEFT(月別集計!U$43,1))</f>
        <v>0</v>
      </c>
      <c r="V47" s="30">
        <f t="shared" si="23"/>
        <v>0</v>
      </c>
      <c r="W47" s="32">
        <f t="shared" si="24"/>
        <v>0</v>
      </c>
      <c r="X47" s="22">
        <f>COUNTIF(年間一覧表!$X$46:$AD$51,LEFT(月別集計!X$43,1))</f>
        <v>0</v>
      </c>
      <c r="Y47" s="22">
        <f>COUNTIF(年間一覧表!$X$46:$AD$51,LEFT(月別集計!Y$43,1))</f>
        <v>0</v>
      </c>
      <c r="Z47" s="22">
        <f>COUNTIF(年間一覧表!$X$46:$AD$51,LEFT(月別集計!Z$43,1))</f>
        <v>0</v>
      </c>
      <c r="AA47" s="22">
        <f>COUNTIF(年間一覧表!$X$46:$AD$51,LEFT(月別集計!AA$43,1))</f>
        <v>0</v>
      </c>
      <c r="AB47" s="22">
        <f>COUNTIF(年間一覧表!$X$46:$AD$51,LEFT(月別集計!AB$43,1))</f>
        <v>0</v>
      </c>
      <c r="AC47" s="34">
        <f t="shared" si="25"/>
        <v>0</v>
      </c>
    </row>
    <row r="48" spans="1:29" x14ac:dyDescent="0.15">
      <c r="A48" s="57"/>
      <c r="B48" s="24" t="s">
        <v>38</v>
      </c>
      <c r="C48" s="22">
        <f>COUNTIF(年間一覧表!$AE$46:$AK$51,LEFT(月別集計!C$43,1))</f>
        <v>0</v>
      </c>
      <c r="D48" s="22">
        <f>COUNTIF(年間一覧表!$AE$46:$AK$51,LEFT(月別集計!D$43,1))</f>
        <v>0</v>
      </c>
      <c r="E48" s="22">
        <f>COUNTIF(年間一覧表!$AE$46:$AK$51,LEFT(月別集計!E$43,1))</f>
        <v>0</v>
      </c>
      <c r="F48" s="22">
        <f>COUNTIF(年間一覧表!$AE$46:$AK$51,LEFT(月別集計!F$43,1))</f>
        <v>0</v>
      </c>
      <c r="G48" s="22">
        <f>COUNTIF(年間一覧表!$AE$46:$AK$51,LEFT(月別集計!G$43,1))</f>
        <v>0</v>
      </c>
      <c r="H48" s="22">
        <f>COUNTIF(年間一覧表!$AE$46:$AK$51,LEFT(月別集計!H$43,1))</f>
        <v>0</v>
      </c>
      <c r="I48" s="22">
        <f>COUNTIF(年間一覧表!$AE$46:$AK$51,LEFT(月別集計!I$43,1))</f>
        <v>0</v>
      </c>
      <c r="J48" s="22">
        <f>COUNTIF(年間一覧表!$AE$46:$AK$51,LEFT(月別集計!J$43,1))</f>
        <v>0</v>
      </c>
      <c r="K48" s="22">
        <f>COUNTIF(年間一覧表!$AE$46:$AK$51,LEFT(月別集計!K$43,1))</f>
        <v>0</v>
      </c>
      <c r="L48" s="22">
        <f>COUNTIF(年間一覧表!$AE$46:$AK$51,LEFT(月別集計!L$43,1))</f>
        <v>0</v>
      </c>
      <c r="M48" s="22">
        <f>COUNTIF(年間一覧表!$AE$46:$AK$51,LEFT(月別集計!M$43,1))</f>
        <v>0</v>
      </c>
      <c r="N48" s="22">
        <f>COUNTIF(年間一覧表!$AE$46:$AK$51,LEFT(月別集計!N$43,1))</f>
        <v>0</v>
      </c>
      <c r="O48" s="22">
        <f>COUNTIF(年間一覧表!$AE$46:$AK$51,LEFT(月別集計!O$43,1))</f>
        <v>0</v>
      </c>
      <c r="P48" s="28">
        <f t="shared" si="22"/>
        <v>0</v>
      </c>
      <c r="Q48" s="22">
        <f>COUNTIF(年間一覧表!$AE$46:$AK$51,LEFT(月別集計!Q$43,1))</f>
        <v>0</v>
      </c>
      <c r="R48" s="22">
        <f>COUNTIF(年間一覧表!$AE$46:$AK$51,RIGHT(月別集計!R$43,1))</f>
        <v>0</v>
      </c>
      <c r="S48" s="22">
        <f>COUNTIF(年間一覧表!$AE$46:$AK$51,LEFT(月別集計!S$43,1))</f>
        <v>0</v>
      </c>
      <c r="T48" s="22">
        <f>COUNTIF(年間一覧表!$AE$46:$AK$51,LEFT(月別集計!T$43,1))</f>
        <v>0</v>
      </c>
      <c r="U48" s="22">
        <f>COUNTIF(年間一覧表!$AE$46:$AK$51,LEFT(月別集計!U$43,1))</f>
        <v>0</v>
      </c>
      <c r="V48" s="30">
        <f t="shared" si="23"/>
        <v>0</v>
      </c>
      <c r="W48" s="32">
        <f t="shared" si="24"/>
        <v>0</v>
      </c>
      <c r="X48" s="22">
        <f>COUNTIF(年間一覧表!$AE$46:$AK$51,LEFT(月別集計!X$43,1))</f>
        <v>0</v>
      </c>
      <c r="Y48" s="22">
        <f>COUNTIF(年間一覧表!$AE$46:$AK$51,LEFT(月別集計!Y$43,1))</f>
        <v>0</v>
      </c>
      <c r="Z48" s="22">
        <f>COUNTIF(年間一覧表!$AE$46:$AK$51,LEFT(月別集計!Z$43,1))</f>
        <v>0</v>
      </c>
      <c r="AA48" s="22">
        <f>COUNTIF(年間一覧表!$AE$46:$AK$51,LEFT(月別集計!AA$43,1))</f>
        <v>0</v>
      </c>
      <c r="AB48" s="22">
        <f>COUNTIF(年間一覧表!$AE$46:$AK$51,LEFT(月別集計!AB$43,1))</f>
        <v>0</v>
      </c>
      <c r="AC48" s="34">
        <f t="shared" si="25"/>
        <v>0</v>
      </c>
    </row>
    <row r="49" spans="1:29" x14ac:dyDescent="0.15">
      <c r="A49" s="57"/>
      <c r="B49" s="24" t="s">
        <v>39</v>
      </c>
      <c r="C49" s="22">
        <f>COUNTIF(年間一覧表!$AL$46:$AM$51,LEFT(月別集計!C$43,1))</f>
        <v>0</v>
      </c>
      <c r="D49" s="22">
        <f>COUNTIF(年間一覧表!$AL$46:$AM$51,LEFT(月別集計!D$43,1))</f>
        <v>0</v>
      </c>
      <c r="E49" s="22">
        <f>COUNTIF(年間一覧表!$AL$46:$AM$51,LEFT(月別集計!E$43,1))</f>
        <v>0</v>
      </c>
      <c r="F49" s="22">
        <f>COUNTIF(年間一覧表!$AL$46:$AM$51,LEFT(月別集計!F$43,1))</f>
        <v>0</v>
      </c>
      <c r="G49" s="22">
        <f>COUNTIF(年間一覧表!$AL$46:$AM$51,LEFT(月別集計!G$43,1))</f>
        <v>0</v>
      </c>
      <c r="H49" s="22">
        <f>COUNTIF(年間一覧表!$AL$46:$AM$51,LEFT(月別集計!H$43,1))</f>
        <v>0</v>
      </c>
      <c r="I49" s="22">
        <f>COUNTIF(年間一覧表!$AL$46:$AM$51,LEFT(月別集計!I$43,1))</f>
        <v>0</v>
      </c>
      <c r="J49" s="22">
        <f>COUNTIF(年間一覧表!$AL$46:$AM$51,LEFT(月別集計!J$43,1))</f>
        <v>0</v>
      </c>
      <c r="K49" s="22">
        <f>COUNTIF(年間一覧表!$AL$46:$AM$51,LEFT(月別集計!K$43,1))</f>
        <v>0</v>
      </c>
      <c r="L49" s="22">
        <f>COUNTIF(年間一覧表!$AL$46:$AM$51,LEFT(月別集計!L$43,1))</f>
        <v>0</v>
      </c>
      <c r="M49" s="22">
        <f>COUNTIF(年間一覧表!$AL$46:$AM$51,LEFT(月別集計!M$43,1))</f>
        <v>0</v>
      </c>
      <c r="N49" s="22">
        <f>COUNTIF(年間一覧表!$AL$46:$AM$51,LEFT(月別集計!N$43,1))</f>
        <v>0</v>
      </c>
      <c r="O49" s="22">
        <f>COUNTIF(年間一覧表!$AL$46:$AM$51,LEFT(月別集計!O$43,1))</f>
        <v>0</v>
      </c>
      <c r="P49" s="28">
        <f t="shared" si="22"/>
        <v>0</v>
      </c>
      <c r="Q49" s="22">
        <f>COUNTIF(年間一覧表!$AL$46:$AM$51,LEFT(月別集計!Q$43,1))</f>
        <v>0</v>
      </c>
      <c r="R49" s="22">
        <f>COUNTIF(年間一覧表!$AL$46:$AM$51,RIGHT(月別集計!R$43,1))</f>
        <v>0</v>
      </c>
      <c r="S49" s="22">
        <f>COUNTIF(年間一覧表!$AL$46:$AM$51,LEFT(月別集計!S$43,1))</f>
        <v>0</v>
      </c>
      <c r="T49" s="22">
        <f>COUNTIF(年間一覧表!$AL$46:$AM$51,LEFT(月別集計!T$43,1))</f>
        <v>0</v>
      </c>
      <c r="U49" s="22">
        <f>COUNTIF(年間一覧表!$AL$46:$AM$51,LEFT(月別集計!U$43,1))</f>
        <v>0</v>
      </c>
      <c r="V49" s="30">
        <f t="shared" si="23"/>
        <v>0</v>
      </c>
      <c r="W49" s="32">
        <f t="shared" si="24"/>
        <v>0</v>
      </c>
      <c r="X49" s="22">
        <f>COUNTIF(年間一覧表!$AL$46:$AM$51,LEFT(月別集計!X$43,1))</f>
        <v>0</v>
      </c>
      <c r="Y49" s="22">
        <f>COUNTIF(年間一覧表!$AL$46:$AM$51,LEFT(月別集計!Y$43,1))</f>
        <v>0</v>
      </c>
      <c r="Z49" s="22">
        <f>COUNTIF(年間一覧表!$AL$46:$AM$51,LEFT(月別集計!Z$43,1))</f>
        <v>0</v>
      </c>
      <c r="AA49" s="22">
        <f>COUNTIF(年間一覧表!$AL$46:$AM$51,LEFT(月別集計!AA$43,1))</f>
        <v>0</v>
      </c>
      <c r="AB49" s="22">
        <f>COUNTIF(年間一覧表!$AL$46:$AM$51,LEFT(月別集計!AB$43,1))</f>
        <v>0</v>
      </c>
      <c r="AC49" s="34">
        <f t="shared" si="25"/>
        <v>0</v>
      </c>
    </row>
    <row r="50" spans="1:29" x14ac:dyDescent="0.15">
      <c r="A50" s="58"/>
      <c r="B50" s="24" t="s">
        <v>40</v>
      </c>
      <c r="C50" s="26">
        <f>SUM(C44:C49)</f>
        <v>0</v>
      </c>
      <c r="D50" s="26">
        <f t="shared" ref="D50:AC50" si="26">SUM(D44:D49)</f>
        <v>0</v>
      </c>
      <c r="E50" s="26">
        <f t="shared" si="26"/>
        <v>0</v>
      </c>
      <c r="F50" s="26">
        <f t="shared" si="26"/>
        <v>0</v>
      </c>
      <c r="G50" s="26">
        <f t="shared" si="26"/>
        <v>0</v>
      </c>
      <c r="H50" s="26">
        <f t="shared" si="26"/>
        <v>0</v>
      </c>
      <c r="I50" s="26">
        <f t="shared" si="26"/>
        <v>0</v>
      </c>
      <c r="J50" s="26">
        <f t="shared" si="26"/>
        <v>0</v>
      </c>
      <c r="K50" s="26">
        <f t="shared" si="26"/>
        <v>0</v>
      </c>
      <c r="L50" s="26">
        <f t="shared" si="26"/>
        <v>0</v>
      </c>
      <c r="M50" s="26">
        <f t="shared" si="26"/>
        <v>0</v>
      </c>
      <c r="N50" s="26">
        <f t="shared" si="26"/>
        <v>0</v>
      </c>
      <c r="O50" s="26">
        <f t="shared" si="26"/>
        <v>0</v>
      </c>
      <c r="P50" s="28">
        <f t="shared" si="26"/>
        <v>0</v>
      </c>
      <c r="Q50" s="26">
        <f t="shared" si="26"/>
        <v>0</v>
      </c>
      <c r="R50" s="26">
        <f t="shared" si="26"/>
        <v>0</v>
      </c>
      <c r="S50" s="26">
        <f t="shared" si="26"/>
        <v>0</v>
      </c>
      <c r="T50" s="26">
        <f t="shared" si="26"/>
        <v>0</v>
      </c>
      <c r="U50" s="26">
        <f t="shared" si="26"/>
        <v>0</v>
      </c>
      <c r="V50" s="30">
        <f t="shared" si="26"/>
        <v>0</v>
      </c>
      <c r="W50" s="32">
        <f t="shared" si="26"/>
        <v>0</v>
      </c>
      <c r="X50" s="26">
        <f t="shared" si="26"/>
        <v>0</v>
      </c>
      <c r="Y50" s="26">
        <f t="shared" si="26"/>
        <v>0</v>
      </c>
      <c r="Z50" s="26">
        <f t="shared" si="26"/>
        <v>0</v>
      </c>
      <c r="AA50" s="26">
        <f t="shared" si="26"/>
        <v>0</v>
      </c>
      <c r="AB50" s="26">
        <f t="shared" ref="AB50" si="27">SUM(AB44:AB49)</f>
        <v>0</v>
      </c>
      <c r="AC50" s="34">
        <f t="shared" si="26"/>
        <v>0</v>
      </c>
    </row>
    <row r="52" spans="1:29" x14ac:dyDescent="0.15">
      <c r="A52" s="56" t="s">
        <v>66</v>
      </c>
      <c r="B52" s="24"/>
      <c r="C52" s="59" t="s">
        <v>41</v>
      </c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1"/>
      <c r="Q52" s="62" t="s">
        <v>51</v>
      </c>
      <c r="R52" s="62"/>
      <c r="S52" s="62"/>
      <c r="T52" s="62"/>
      <c r="U52" s="62"/>
      <c r="V52" s="62"/>
      <c r="W52" s="31"/>
      <c r="X52" s="53" t="s">
        <v>53</v>
      </c>
      <c r="Y52" s="54"/>
      <c r="Z52" s="54"/>
      <c r="AA52" s="54"/>
      <c r="AB52" s="55"/>
      <c r="AC52" s="34"/>
    </row>
    <row r="53" spans="1:29" x14ac:dyDescent="0.15">
      <c r="A53" s="57"/>
      <c r="B53" s="24"/>
      <c r="C53" s="24" t="s">
        <v>8</v>
      </c>
      <c r="D53" s="24" t="s">
        <v>10</v>
      </c>
      <c r="E53" s="24" t="s">
        <v>11</v>
      </c>
      <c r="F53" s="24" t="s">
        <v>12</v>
      </c>
      <c r="G53" s="24" t="s">
        <v>13</v>
      </c>
      <c r="H53" s="24" t="s">
        <v>14</v>
      </c>
      <c r="I53" s="24" t="s">
        <v>15</v>
      </c>
      <c r="J53" s="24" t="s">
        <v>17</v>
      </c>
      <c r="K53" s="24" t="s">
        <v>16</v>
      </c>
      <c r="L53" s="24" t="s">
        <v>19</v>
      </c>
      <c r="M53" s="24" t="s">
        <v>20</v>
      </c>
      <c r="N53" s="24" t="s">
        <v>18</v>
      </c>
      <c r="O53" s="24" t="s">
        <v>34</v>
      </c>
      <c r="P53" s="27" t="s">
        <v>40</v>
      </c>
      <c r="Q53" s="24" t="s">
        <v>42</v>
      </c>
      <c r="R53" s="24" t="s">
        <v>43</v>
      </c>
      <c r="S53" s="24" t="s">
        <v>44</v>
      </c>
      <c r="T53" s="24" t="s">
        <v>45</v>
      </c>
      <c r="U53" s="24" t="s">
        <v>46</v>
      </c>
      <c r="V53" s="29" t="s">
        <v>52</v>
      </c>
      <c r="W53" s="31" t="s">
        <v>73</v>
      </c>
      <c r="X53" s="24" t="s">
        <v>21</v>
      </c>
      <c r="Y53" s="24" t="s">
        <v>69</v>
      </c>
      <c r="Z53" s="24" t="s">
        <v>70</v>
      </c>
      <c r="AA53" s="24" t="s">
        <v>53</v>
      </c>
      <c r="AB53" s="50" t="s">
        <v>109</v>
      </c>
      <c r="AC53" s="33" t="s">
        <v>50</v>
      </c>
    </row>
    <row r="54" spans="1:29" x14ac:dyDescent="0.15">
      <c r="A54" s="57"/>
      <c r="B54" s="24" t="s">
        <v>33</v>
      </c>
      <c r="C54" s="22">
        <f>COUNTIF(年間一覧表!$C$56:$I$61,LEFT(月別集計!C$53,1))</f>
        <v>0</v>
      </c>
      <c r="D54" s="22">
        <f>COUNTIF(年間一覧表!$C$56:$I$61,LEFT(月別集計!D$53,1))</f>
        <v>0</v>
      </c>
      <c r="E54" s="22">
        <f>COUNTIF(年間一覧表!$C$56:$I$61,LEFT(月別集計!E$53,1))</f>
        <v>0</v>
      </c>
      <c r="F54" s="22">
        <f>COUNTIF(年間一覧表!$C$56:$I$61,LEFT(月別集計!F$53,1))</f>
        <v>0</v>
      </c>
      <c r="G54" s="22">
        <f>COUNTIF(年間一覧表!$C$56:$I$61,LEFT(月別集計!G$53,1))</f>
        <v>0</v>
      </c>
      <c r="H54" s="22">
        <f>COUNTIF(年間一覧表!$C$56:$I$61,LEFT(月別集計!H$53,1))</f>
        <v>0</v>
      </c>
      <c r="I54" s="22">
        <f>COUNTIF(年間一覧表!$C$56:$I$61,LEFT(月別集計!I$53,1))</f>
        <v>0</v>
      </c>
      <c r="J54" s="22">
        <f>COUNTIF(年間一覧表!$C$56:$I$61,LEFT(月別集計!J$53,1))</f>
        <v>0</v>
      </c>
      <c r="K54" s="22">
        <f>COUNTIF(年間一覧表!$C$56:$I$61,LEFT(月別集計!K$53,1))</f>
        <v>0</v>
      </c>
      <c r="L54" s="22">
        <f>COUNTIF(年間一覧表!$C$56:$I$61,LEFT(月別集計!L$53,1))</f>
        <v>0</v>
      </c>
      <c r="M54" s="22">
        <f>COUNTIF(年間一覧表!$C$56:$I$61,LEFT(月別集計!M$53,1))</f>
        <v>0</v>
      </c>
      <c r="N54" s="22">
        <f>COUNTIF(年間一覧表!$C$56:$I$61,LEFT(月別集計!N$53,1))</f>
        <v>0</v>
      </c>
      <c r="O54" s="22">
        <f>COUNTIF(年間一覧表!$C$56:$I$61,LEFT(月別集計!O$53,1))</f>
        <v>0</v>
      </c>
      <c r="P54" s="28">
        <f>SUM(C54:O54)</f>
        <v>0</v>
      </c>
      <c r="Q54" s="22">
        <f>COUNTIF(年間一覧表!$C$56:$I$61,LEFT(月別集計!Q$53,1))</f>
        <v>0</v>
      </c>
      <c r="R54" s="22">
        <f>COUNTIF(年間一覧表!$C$56:$I$61,RIGHT(月別集計!R$53,1))</f>
        <v>0</v>
      </c>
      <c r="S54" s="22">
        <f>COUNTIF(年間一覧表!$C$56:$I$61,LEFT(月別集計!S$53,1))</f>
        <v>0</v>
      </c>
      <c r="T54" s="22">
        <f>COUNTIF(年間一覧表!$C$56:$I$61,LEFT(月別集計!T$53,1))</f>
        <v>0</v>
      </c>
      <c r="U54" s="22">
        <f>COUNTIF(年間一覧表!$C$56:$I$61,LEFT(月別集計!U$53,1))</f>
        <v>0</v>
      </c>
      <c r="V54" s="30">
        <f>SUM(Q54:U54)</f>
        <v>0</v>
      </c>
      <c r="W54" s="32">
        <f>P54+V54</f>
        <v>0</v>
      </c>
      <c r="X54" s="22">
        <f>COUNTIF(年間一覧表!$C$56:$I$61,LEFT(月別集計!X$53,1))</f>
        <v>0</v>
      </c>
      <c r="Y54" s="22">
        <f>COUNTIF(年間一覧表!$C$56:$I$61,LEFT(月別集計!Y$53,1))</f>
        <v>0</v>
      </c>
      <c r="Z54" s="22">
        <f>COUNTIF(年間一覧表!$C$56:$I$61,LEFT(月別集計!Z$53,1))</f>
        <v>0</v>
      </c>
      <c r="AA54" s="22">
        <f>COUNTIF(年間一覧表!$C$56:$I$61,LEFT(月別集計!AA$53,1))</f>
        <v>0</v>
      </c>
      <c r="AB54" s="22">
        <f>COUNTIF(年間一覧表!$C$56:$I$61,LEFT(月別集計!AB$53,1))</f>
        <v>0</v>
      </c>
      <c r="AC54" s="34">
        <f>SUM(W54:AB54)</f>
        <v>0</v>
      </c>
    </row>
    <row r="55" spans="1:29" x14ac:dyDescent="0.15">
      <c r="A55" s="57"/>
      <c r="B55" s="24" t="s">
        <v>35</v>
      </c>
      <c r="C55" s="22">
        <f>COUNTIF(年間一覧表!$J$56:$P$61,LEFT(月別集計!C$53,1))</f>
        <v>0</v>
      </c>
      <c r="D55" s="22">
        <f>COUNTIF(年間一覧表!$J$56:$P$61,LEFT(月別集計!D$53,1))</f>
        <v>0</v>
      </c>
      <c r="E55" s="22">
        <f>COUNTIF(年間一覧表!$J$56:$P$61,LEFT(月別集計!E$53,1))</f>
        <v>0</v>
      </c>
      <c r="F55" s="22">
        <f>COUNTIF(年間一覧表!$J$56:$P$61,LEFT(月別集計!F$53,1))</f>
        <v>0</v>
      </c>
      <c r="G55" s="22">
        <f>COUNTIF(年間一覧表!$J$56:$P$61,LEFT(月別集計!G$53,1))</f>
        <v>0</v>
      </c>
      <c r="H55" s="22">
        <f>COUNTIF(年間一覧表!$J$56:$P$61,LEFT(月別集計!H$53,1))</f>
        <v>0</v>
      </c>
      <c r="I55" s="22">
        <f>COUNTIF(年間一覧表!$J$56:$P$61,LEFT(月別集計!I$53,1))</f>
        <v>0</v>
      </c>
      <c r="J55" s="22">
        <f>COUNTIF(年間一覧表!$J$56:$P$61,LEFT(月別集計!J$53,1))</f>
        <v>0</v>
      </c>
      <c r="K55" s="22">
        <f>COUNTIF(年間一覧表!$J$56:$P$61,LEFT(月別集計!K$53,1))</f>
        <v>0</v>
      </c>
      <c r="L55" s="22">
        <f>COUNTIF(年間一覧表!$J$56:$P$61,LEFT(月別集計!L$53,1))</f>
        <v>0</v>
      </c>
      <c r="M55" s="22">
        <f>COUNTIF(年間一覧表!$J$56:$P$61,LEFT(月別集計!M$53,1))</f>
        <v>0</v>
      </c>
      <c r="N55" s="22">
        <f>COUNTIF(年間一覧表!$J$56:$P$61,LEFT(月別集計!N$53,1))</f>
        <v>0</v>
      </c>
      <c r="O55" s="22">
        <f>COUNTIF(年間一覧表!$J$56:$P$61,LEFT(月別集計!O$53,1))</f>
        <v>0</v>
      </c>
      <c r="P55" s="28">
        <f t="shared" ref="P55:P59" si="28">SUM(C55:O55)</f>
        <v>0</v>
      </c>
      <c r="Q55" s="22">
        <f>COUNTIF(年間一覧表!$J$56:$P$61,LEFT(月別集計!Q$53,1))</f>
        <v>0</v>
      </c>
      <c r="R55" s="22">
        <f>COUNTIF(年間一覧表!$J$56:$P$61,RIGHT(月別集計!R$53,1))</f>
        <v>0</v>
      </c>
      <c r="S55" s="22">
        <f>COUNTIF(年間一覧表!$J$56:$P$61,LEFT(月別集計!S$53,1))</f>
        <v>0</v>
      </c>
      <c r="T55" s="22">
        <f>COUNTIF(年間一覧表!$J$56:$P$61,LEFT(月別集計!T$53,1))</f>
        <v>0</v>
      </c>
      <c r="U55" s="22">
        <f>COUNTIF(年間一覧表!$J$56:$P$61,LEFT(月別集計!U$53,1))</f>
        <v>0</v>
      </c>
      <c r="V55" s="30">
        <f t="shared" ref="V55:V59" si="29">SUM(Q55:U55)</f>
        <v>0</v>
      </c>
      <c r="W55" s="32">
        <f t="shared" ref="W55:W59" si="30">P55+V55</f>
        <v>0</v>
      </c>
      <c r="X55" s="22">
        <f>COUNTIF(年間一覧表!$J$56:$P$61,LEFT(月別集計!X$53,1))</f>
        <v>0</v>
      </c>
      <c r="Y55" s="22">
        <f>COUNTIF(年間一覧表!$J$56:$P$61,LEFT(月別集計!Y$53,1))</f>
        <v>0</v>
      </c>
      <c r="Z55" s="22">
        <f>COUNTIF(年間一覧表!$J$56:$P$61,LEFT(月別集計!Z$53,1))</f>
        <v>0</v>
      </c>
      <c r="AA55" s="22">
        <f>COUNTIF(年間一覧表!$J$56:$P$61,LEFT(月別集計!AA$53,1))</f>
        <v>0</v>
      </c>
      <c r="AB55" s="22">
        <f>COUNTIF(年間一覧表!$J$56:$P$61,LEFT(月別集計!AB$53,1))</f>
        <v>0</v>
      </c>
      <c r="AC55" s="34">
        <f t="shared" ref="AC55:AC59" si="31">SUM(W55:AB55)</f>
        <v>0</v>
      </c>
    </row>
    <row r="56" spans="1:29" x14ac:dyDescent="0.15">
      <c r="A56" s="57"/>
      <c r="B56" s="24" t="s">
        <v>36</v>
      </c>
      <c r="C56" s="22">
        <f>COUNTIF(年間一覧表!$Q$56:$W$61,LEFT(月別集計!C$53,1))</f>
        <v>0</v>
      </c>
      <c r="D56" s="22">
        <f>COUNTIF(年間一覧表!$Q$56:$W$61,LEFT(月別集計!D$53,1))</f>
        <v>0</v>
      </c>
      <c r="E56" s="22">
        <f>COUNTIF(年間一覧表!$Q$56:$W$61,LEFT(月別集計!E$53,1))</f>
        <v>0</v>
      </c>
      <c r="F56" s="22">
        <f>COUNTIF(年間一覧表!$Q$56:$W$61,LEFT(月別集計!F$53,1))</f>
        <v>0</v>
      </c>
      <c r="G56" s="22">
        <f>COUNTIF(年間一覧表!$Q$56:$W$61,LEFT(月別集計!G$53,1))</f>
        <v>0</v>
      </c>
      <c r="H56" s="22">
        <f>COUNTIF(年間一覧表!$Q$56:$W$61,LEFT(月別集計!H$53,1))</f>
        <v>0</v>
      </c>
      <c r="I56" s="22">
        <f>COUNTIF(年間一覧表!$Q$56:$W$61,LEFT(月別集計!I$53,1))</f>
        <v>0</v>
      </c>
      <c r="J56" s="22">
        <f>COUNTIF(年間一覧表!$Q$56:$W$61,LEFT(月別集計!J$53,1))</f>
        <v>0</v>
      </c>
      <c r="K56" s="22">
        <f>COUNTIF(年間一覧表!$Q$56:$W$61,LEFT(月別集計!K$53,1))</f>
        <v>0</v>
      </c>
      <c r="L56" s="22">
        <f>COUNTIF(年間一覧表!$Q$56:$W$61,LEFT(月別集計!L$53,1))</f>
        <v>0</v>
      </c>
      <c r="M56" s="22">
        <f>COUNTIF(年間一覧表!$Q$56:$W$61,LEFT(月別集計!M$53,1))</f>
        <v>0</v>
      </c>
      <c r="N56" s="22">
        <f>COUNTIF(年間一覧表!$Q$56:$W$61,LEFT(月別集計!N$53,1))</f>
        <v>0</v>
      </c>
      <c r="O56" s="22">
        <f>COUNTIF(年間一覧表!$Q$56:$W$61,LEFT(月別集計!O$53,1))</f>
        <v>0</v>
      </c>
      <c r="P56" s="28">
        <f t="shared" si="28"/>
        <v>0</v>
      </c>
      <c r="Q56" s="22">
        <f>COUNTIF(年間一覧表!$Q$56:$W$61,LEFT(月別集計!Q$53,1))</f>
        <v>0</v>
      </c>
      <c r="R56" s="22">
        <f>COUNTIF(年間一覧表!$Q$56:$W$61,RIGHT(月別集計!R$53,1))</f>
        <v>0</v>
      </c>
      <c r="S56" s="22">
        <f>COUNTIF(年間一覧表!$Q$56:$W$61,LEFT(月別集計!S$53,1))</f>
        <v>0</v>
      </c>
      <c r="T56" s="22">
        <f>COUNTIF(年間一覧表!$Q$56:$W$61,LEFT(月別集計!T$53,1))</f>
        <v>0</v>
      </c>
      <c r="U56" s="22">
        <f>COUNTIF(年間一覧表!$Q$56:$W$61,LEFT(月別集計!U$53,1))</f>
        <v>0</v>
      </c>
      <c r="V56" s="30">
        <f t="shared" si="29"/>
        <v>0</v>
      </c>
      <c r="W56" s="32">
        <f t="shared" si="30"/>
        <v>0</v>
      </c>
      <c r="X56" s="22">
        <f>COUNTIF(年間一覧表!$Q$56:$W$61,LEFT(月別集計!X$53,1))</f>
        <v>0</v>
      </c>
      <c r="Y56" s="22">
        <f>COUNTIF(年間一覧表!$Q$56:$W$61,LEFT(月別集計!Y$53,1))</f>
        <v>0</v>
      </c>
      <c r="Z56" s="22">
        <f>COUNTIF(年間一覧表!$Q$56:$W$61,LEFT(月別集計!Z$53,1))</f>
        <v>0</v>
      </c>
      <c r="AA56" s="22">
        <f>COUNTIF(年間一覧表!$Q$56:$W$61,LEFT(月別集計!AA$53,1))</f>
        <v>0</v>
      </c>
      <c r="AB56" s="22">
        <f>COUNTIF(年間一覧表!$Q$56:$W$61,LEFT(月別集計!AB$53,1))</f>
        <v>0</v>
      </c>
      <c r="AC56" s="34">
        <f t="shared" si="31"/>
        <v>0</v>
      </c>
    </row>
    <row r="57" spans="1:29" x14ac:dyDescent="0.15">
      <c r="A57" s="57"/>
      <c r="B57" s="24" t="s">
        <v>37</v>
      </c>
      <c r="C57" s="22">
        <f>COUNTIF(年間一覧表!$X$56:$AD$61,LEFT(月別集計!C$53,1))</f>
        <v>0</v>
      </c>
      <c r="D57" s="22">
        <f>COUNTIF(年間一覧表!$X$56:$AD$61,LEFT(月別集計!D$53,1))</f>
        <v>0</v>
      </c>
      <c r="E57" s="22">
        <f>COUNTIF(年間一覧表!$X$56:$AD$61,LEFT(月別集計!E$53,1))</f>
        <v>0</v>
      </c>
      <c r="F57" s="22">
        <f>COUNTIF(年間一覧表!$X$56:$AD$61,LEFT(月別集計!F$53,1))</f>
        <v>0</v>
      </c>
      <c r="G57" s="22">
        <f>COUNTIF(年間一覧表!$X$56:$AD$61,LEFT(月別集計!G$53,1))</f>
        <v>0</v>
      </c>
      <c r="H57" s="22">
        <f>COUNTIF(年間一覧表!$X$56:$AD$61,LEFT(月別集計!H$53,1))</f>
        <v>0</v>
      </c>
      <c r="I57" s="22">
        <f>COUNTIF(年間一覧表!$X$56:$AD$61,LEFT(月別集計!I$53,1))</f>
        <v>0</v>
      </c>
      <c r="J57" s="22">
        <f>COUNTIF(年間一覧表!$X$56:$AD$61,LEFT(月別集計!J$53,1))</f>
        <v>0</v>
      </c>
      <c r="K57" s="22">
        <f>COUNTIF(年間一覧表!$X$56:$AD$61,LEFT(月別集計!K$53,1))</f>
        <v>0</v>
      </c>
      <c r="L57" s="22">
        <f>COUNTIF(年間一覧表!$X$56:$AD$61,LEFT(月別集計!L$53,1))</f>
        <v>0</v>
      </c>
      <c r="M57" s="22">
        <f>COUNTIF(年間一覧表!$X$56:$AD$61,LEFT(月別集計!M$53,1))</f>
        <v>0</v>
      </c>
      <c r="N57" s="22">
        <f>COUNTIF(年間一覧表!$X$56:$AD$61,LEFT(月別集計!N$53,1))</f>
        <v>0</v>
      </c>
      <c r="O57" s="22">
        <f>COUNTIF(年間一覧表!$X$56:$AD$61,LEFT(月別集計!O$53,1))</f>
        <v>0</v>
      </c>
      <c r="P57" s="28">
        <f t="shared" si="28"/>
        <v>0</v>
      </c>
      <c r="Q57" s="22">
        <f>COUNTIF(年間一覧表!$X$56:$AD$61,LEFT(月別集計!Q$53,1))</f>
        <v>0</v>
      </c>
      <c r="R57" s="22">
        <f>COUNTIF(年間一覧表!$X$56:$AD$61,RIGHT(月別集計!R$53,1))</f>
        <v>0</v>
      </c>
      <c r="S57" s="22">
        <f>COUNTIF(年間一覧表!$X$56:$AD$61,LEFT(月別集計!S$53,1))</f>
        <v>0</v>
      </c>
      <c r="T57" s="22">
        <f>COUNTIF(年間一覧表!$X$56:$AD$61,LEFT(月別集計!T$53,1))</f>
        <v>0</v>
      </c>
      <c r="U57" s="22">
        <f>COUNTIF(年間一覧表!$X$56:$AD$61,LEFT(月別集計!U$53,1))</f>
        <v>0</v>
      </c>
      <c r="V57" s="30">
        <f t="shared" si="29"/>
        <v>0</v>
      </c>
      <c r="W57" s="32">
        <f t="shared" si="30"/>
        <v>0</v>
      </c>
      <c r="X57" s="22">
        <f>COUNTIF(年間一覧表!$X$56:$AD$61,LEFT(月別集計!X$53,1))</f>
        <v>0</v>
      </c>
      <c r="Y57" s="22">
        <f>COUNTIF(年間一覧表!$X$56:$AD$61,LEFT(月別集計!Y$53,1))</f>
        <v>0</v>
      </c>
      <c r="Z57" s="22">
        <f>COUNTIF(年間一覧表!$X$56:$AD$61,LEFT(月別集計!Z$53,1))</f>
        <v>0</v>
      </c>
      <c r="AA57" s="22">
        <f>COUNTIF(年間一覧表!$X$56:$AD$61,LEFT(月別集計!AA$53,1))</f>
        <v>0</v>
      </c>
      <c r="AB57" s="22">
        <f>COUNTIF(年間一覧表!$X$56:$AD$61,LEFT(月別集計!AB$53,1))</f>
        <v>0</v>
      </c>
      <c r="AC57" s="34">
        <f t="shared" si="31"/>
        <v>0</v>
      </c>
    </row>
    <row r="58" spans="1:29" x14ac:dyDescent="0.15">
      <c r="A58" s="57"/>
      <c r="B58" s="24" t="s">
        <v>38</v>
      </c>
      <c r="C58" s="22">
        <f>COUNTIF(年間一覧表!$AE$56:$AK$61,LEFT(月別集計!C$53,1))</f>
        <v>0</v>
      </c>
      <c r="D58" s="22">
        <f>COUNTIF(年間一覧表!$AE$56:$AK$61,LEFT(月別集計!D$53,1))</f>
        <v>0</v>
      </c>
      <c r="E58" s="22">
        <f>COUNTIF(年間一覧表!$AE$56:$AK$61,LEFT(月別集計!E$53,1))</f>
        <v>0</v>
      </c>
      <c r="F58" s="22">
        <f>COUNTIF(年間一覧表!$AE$56:$AK$61,LEFT(月別集計!F$53,1))</f>
        <v>0</v>
      </c>
      <c r="G58" s="22">
        <f>COUNTIF(年間一覧表!$AE$56:$AK$61,LEFT(月別集計!G$53,1))</f>
        <v>0</v>
      </c>
      <c r="H58" s="22">
        <f>COUNTIF(年間一覧表!$AE$56:$AK$61,LEFT(月別集計!H$53,1))</f>
        <v>0</v>
      </c>
      <c r="I58" s="22">
        <f>COUNTIF(年間一覧表!$AE$56:$AK$61,LEFT(月別集計!I$53,1))</f>
        <v>0</v>
      </c>
      <c r="J58" s="22">
        <f>COUNTIF(年間一覧表!$AE$56:$AK$61,LEFT(月別集計!J$53,1))</f>
        <v>0</v>
      </c>
      <c r="K58" s="22">
        <f>COUNTIF(年間一覧表!$AE$56:$AK$61,LEFT(月別集計!K$53,1))</f>
        <v>0</v>
      </c>
      <c r="L58" s="22">
        <f>COUNTIF(年間一覧表!$AE$56:$AK$61,LEFT(月別集計!L$53,1))</f>
        <v>0</v>
      </c>
      <c r="M58" s="22">
        <f>COUNTIF(年間一覧表!$AE$56:$AK$61,LEFT(月別集計!M$53,1))</f>
        <v>0</v>
      </c>
      <c r="N58" s="22">
        <f>COUNTIF(年間一覧表!$AE$56:$AK$61,LEFT(月別集計!N$53,1))</f>
        <v>0</v>
      </c>
      <c r="O58" s="22">
        <f>COUNTIF(年間一覧表!$AE$56:$AK$61,LEFT(月別集計!O$53,1))</f>
        <v>0</v>
      </c>
      <c r="P58" s="28">
        <f t="shared" si="28"/>
        <v>0</v>
      </c>
      <c r="Q58" s="22">
        <f>COUNTIF(年間一覧表!$AE$56:$AK$61,LEFT(月別集計!Q$53,1))</f>
        <v>0</v>
      </c>
      <c r="R58" s="22">
        <f>COUNTIF(年間一覧表!$AE$56:$AK$61,RIGHT(月別集計!R$53,1))</f>
        <v>0</v>
      </c>
      <c r="S58" s="22">
        <f>COUNTIF(年間一覧表!$AE$56:$AK$61,LEFT(月別集計!S$53,1))</f>
        <v>0</v>
      </c>
      <c r="T58" s="22">
        <f>COUNTIF(年間一覧表!$AE$56:$AK$61,LEFT(月別集計!T$53,1))</f>
        <v>0</v>
      </c>
      <c r="U58" s="22">
        <f>COUNTIF(年間一覧表!$AE$56:$AK$61,LEFT(月別集計!U$53,1))</f>
        <v>0</v>
      </c>
      <c r="V58" s="30">
        <f t="shared" si="29"/>
        <v>0</v>
      </c>
      <c r="W58" s="32">
        <f t="shared" si="30"/>
        <v>0</v>
      </c>
      <c r="X58" s="22">
        <f>COUNTIF(年間一覧表!$AE$56:$AK$61,LEFT(月別集計!X$53,1))</f>
        <v>0</v>
      </c>
      <c r="Y58" s="22">
        <f>COUNTIF(年間一覧表!$AE$56:$AK$61,LEFT(月別集計!Y$53,1))</f>
        <v>0</v>
      </c>
      <c r="Z58" s="22">
        <f>COUNTIF(年間一覧表!$AE$56:$AK$61,LEFT(月別集計!Z$53,1))</f>
        <v>0</v>
      </c>
      <c r="AA58" s="22">
        <f>COUNTIF(年間一覧表!$AE$56:$AK$61,LEFT(月別集計!AA$53,1))</f>
        <v>0</v>
      </c>
      <c r="AB58" s="22">
        <f>COUNTIF(年間一覧表!$AE$56:$AK$61,LEFT(月別集計!AB$53,1))</f>
        <v>0</v>
      </c>
      <c r="AC58" s="34">
        <f t="shared" si="31"/>
        <v>0</v>
      </c>
    </row>
    <row r="59" spans="1:29" x14ac:dyDescent="0.15">
      <c r="A59" s="57"/>
      <c r="B59" s="24" t="s">
        <v>39</v>
      </c>
      <c r="C59" s="22">
        <f>COUNTIF(年間一覧表!$AL$56:$AL$61,LEFT(月別集計!C$53,1))</f>
        <v>0</v>
      </c>
      <c r="D59" s="22">
        <f>COUNTIF(年間一覧表!$AL$56:$AL$61,LEFT(月別集計!D$53,1))</f>
        <v>0</v>
      </c>
      <c r="E59" s="22">
        <f>COUNTIF(年間一覧表!$AL$56:$AL$61,LEFT(月別集計!E$53,1))</f>
        <v>0</v>
      </c>
      <c r="F59" s="22">
        <f>COUNTIF(年間一覧表!$AL$56:$AL$61,LEFT(月別集計!F$53,1))</f>
        <v>0</v>
      </c>
      <c r="G59" s="22">
        <f>COUNTIF(年間一覧表!$AL$56:$AL$61,LEFT(月別集計!G$53,1))</f>
        <v>0</v>
      </c>
      <c r="H59" s="22">
        <f>COUNTIF(年間一覧表!$AL$56:$AL$61,LEFT(月別集計!H$53,1))</f>
        <v>0</v>
      </c>
      <c r="I59" s="22">
        <f>COUNTIF(年間一覧表!$AL$56:$AL$61,LEFT(月別集計!I$53,1))</f>
        <v>0</v>
      </c>
      <c r="J59" s="22">
        <f>COUNTIF(年間一覧表!$AL$56:$AL$61,LEFT(月別集計!J$53,1))</f>
        <v>0</v>
      </c>
      <c r="K59" s="22">
        <f>COUNTIF(年間一覧表!$AL$56:$AL$61,LEFT(月別集計!K$53,1))</f>
        <v>0</v>
      </c>
      <c r="L59" s="22">
        <f>COUNTIF(年間一覧表!$AL$56:$AL$61,LEFT(月別集計!L$53,1))</f>
        <v>0</v>
      </c>
      <c r="M59" s="22">
        <f>COUNTIF(年間一覧表!$AL$56:$AL$61,LEFT(月別集計!M$53,1))</f>
        <v>0</v>
      </c>
      <c r="N59" s="22">
        <f>COUNTIF(年間一覧表!$AL$56:$AL$61,LEFT(月別集計!N$53,1))</f>
        <v>0</v>
      </c>
      <c r="O59" s="22">
        <f>COUNTIF(年間一覧表!$AL$56:$AL$61,LEFT(月別集計!O$53,1))</f>
        <v>0</v>
      </c>
      <c r="P59" s="28">
        <f t="shared" si="28"/>
        <v>0</v>
      </c>
      <c r="Q59" s="22">
        <f>COUNTIF(年間一覧表!$AL$56:$AL$61,LEFT(月別集計!Q$53,1))</f>
        <v>0</v>
      </c>
      <c r="R59" s="22">
        <f>COUNTIF(年間一覧表!$AL$56:$AL$61,RIGHT(月別集計!R$53,1))</f>
        <v>0</v>
      </c>
      <c r="S59" s="22">
        <f>COUNTIF(年間一覧表!$AL$56:$AL$61,LEFT(月別集計!S$53,1))</f>
        <v>0</v>
      </c>
      <c r="T59" s="22">
        <f>COUNTIF(年間一覧表!$AL$56:$AL$61,LEFT(月別集計!T$53,1))</f>
        <v>0</v>
      </c>
      <c r="U59" s="22">
        <f>COUNTIF(年間一覧表!$AL$56:$AL$61,LEFT(月別集計!U$53,1))</f>
        <v>0</v>
      </c>
      <c r="V59" s="30">
        <f t="shared" si="29"/>
        <v>0</v>
      </c>
      <c r="W59" s="32">
        <f t="shared" si="30"/>
        <v>0</v>
      </c>
      <c r="X59" s="22">
        <f>COUNTIF(年間一覧表!$AL$56:$AL$61,LEFT(月別集計!X$53,1))</f>
        <v>0</v>
      </c>
      <c r="Y59" s="22">
        <f>COUNTIF(年間一覧表!$AL$56:$AL$61,LEFT(月別集計!Y$53,1))</f>
        <v>0</v>
      </c>
      <c r="Z59" s="22">
        <f>COUNTIF(年間一覧表!$AL$56:$AL$61,LEFT(月別集計!Z$53,1))</f>
        <v>0</v>
      </c>
      <c r="AA59" s="22">
        <f>COUNTIF(年間一覧表!$AL$56:$AL$61,LEFT(月別集計!AA$53,1))</f>
        <v>0</v>
      </c>
      <c r="AB59" s="22">
        <f>COUNTIF(年間一覧表!$AL$56:$AL$61,LEFT(月別集計!AB$53,1))</f>
        <v>0</v>
      </c>
      <c r="AC59" s="34">
        <f t="shared" si="31"/>
        <v>0</v>
      </c>
    </row>
    <row r="60" spans="1:29" x14ac:dyDescent="0.15">
      <c r="A60" s="58"/>
      <c r="B60" s="24" t="s">
        <v>40</v>
      </c>
      <c r="C60" s="26">
        <f>SUM(C54:C59)</f>
        <v>0</v>
      </c>
      <c r="D60" s="26">
        <f t="shared" ref="D60:AC60" si="32">SUM(D54:D59)</f>
        <v>0</v>
      </c>
      <c r="E60" s="26">
        <f t="shared" si="32"/>
        <v>0</v>
      </c>
      <c r="F60" s="26">
        <f t="shared" si="32"/>
        <v>0</v>
      </c>
      <c r="G60" s="26">
        <f t="shared" si="32"/>
        <v>0</v>
      </c>
      <c r="H60" s="26">
        <f t="shared" si="32"/>
        <v>0</v>
      </c>
      <c r="I60" s="26">
        <f t="shared" si="32"/>
        <v>0</v>
      </c>
      <c r="J60" s="26">
        <f t="shared" si="32"/>
        <v>0</v>
      </c>
      <c r="K60" s="26">
        <f t="shared" si="32"/>
        <v>0</v>
      </c>
      <c r="L60" s="26">
        <f t="shared" si="32"/>
        <v>0</v>
      </c>
      <c r="M60" s="26">
        <f t="shared" si="32"/>
        <v>0</v>
      </c>
      <c r="N60" s="26">
        <f t="shared" si="32"/>
        <v>0</v>
      </c>
      <c r="O60" s="26">
        <f t="shared" si="32"/>
        <v>0</v>
      </c>
      <c r="P60" s="28">
        <f t="shared" si="32"/>
        <v>0</v>
      </c>
      <c r="Q60" s="26">
        <f t="shared" si="32"/>
        <v>0</v>
      </c>
      <c r="R60" s="26">
        <f t="shared" si="32"/>
        <v>0</v>
      </c>
      <c r="S60" s="26">
        <f t="shared" si="32"/>
        <v>0</v>
      </c>
      <c r="T60" s="26">
        <f t="shared" si="32"/>
        <v>0</v>
      </c>
      <c r="U60" s="26">
        <f t="shared" si="32"/>
        <v>0</v>
      </c>
      <c r="V60" s="30">
        <f t="shared" si="32"/>
        <v>0</v>
      </c>
      <c r="W60" s="32">
        <f t="shared" si="32"/>
        <v>0</v>
      </c>
      <c r="X60" s="26">
        <f t="shared" si="32"/>
        <v>0</v>
      </c>
      <c r="Y60" s="26">
        <f t="shared" si="32"/>
        <v>0</v>
      </c>
      <c r="Z60" s="26">
        <f t="shared" si="32"/>
        <v>0</v>
      </c>
      <c r="AA60" s="26">
        <f t="shared" si="32"/>
        <v>0</v>
      </c>
      <c r="AB60" s="26">
        <f t="shared" ref="AB60" si="33">SUM(AB54:AB59)</f>
        <v>0</v>
      </c>
      <c r="AC60" s="34">
        <f t="shared" si="32"/>
        <v>0</v>
      </c>
    </row>
    <row r="62" spans="1:29" x14ac:dyDescent="0.15">
      <c r="A62" s="56" t="s">
        <v>67</v>
      </c>
      <c r="B62" s="24"/>
      <c r="C62" s="59" t="s">
        <v>41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1"/>
      <c r="Q62" s="62" t="s">
        <v>51</v>
      </c>
      <c r="R62" s="62"/>
      <c r="S62" s="62"/>
      <c r="T62" s="62"/>
      <c r="U62" s="62"/>
      <c r="V62" s="62"/>
      <c r="W62" s="31"/>
      <c r="X62" s="53" t="s">
        <v>53</v>
      </c>
      <c r="Y62" s="54"/>
      <c r="Z62" s="54"/>
      <c r="AA62" s="54"/>
      <c r="AB62" s="55"/>
      <c r="AC62" s="34"/>
    </row>
    <row r="63" spans="1:29" x14ac:dyDescent="0.15">
      <c r="A63" s="57"/>
      <c r="B63" s="24"/>
      <c r="C63" s="24" t="s">
        <v>8</v>
      </c>
      <c r="D63" s="24" t="s">
        <v>10</v>
      </c>
      <c r="E63" s="24" t="s">
        <v>11</v>
      </c>
      <c r="F63" s="24" t="s">
        <v>12</v>
      </c>
      <c r="G63" s="24" t="s">
        <v>13</v>
      </c>
      <c r="H63" s="24" t="s">
        <v>14</v>
      </c>
      <c r="I63" s="24" t="s">
        <v>15</v>
      </c>
      <c r="J63" s="24" t="s">
        <v>17</v>
      </c>
      <c r="K63" s="24" t="s">
        <v>16</v>
      </c>
      <c r="L63" s="24" t="s">
        <v>19</v>
      </c>
      <c r="M63" s="24" t="s">
        <v>20</v>
      </c>
      <c r="N63" s="24" t="s">
        <v>18</v>
      </c>
      <c r="O63" s="24" t="s">
        <v>34</v>
      </c>
      <c r="P63" s="27" t="s">
        <v>40</v>
      </c>
      <c r="Q63" s="24" t="s">
        <v>42</v>
      </c>
      <c r="R63" s="24" t="s">
        <v>43</v>
      </c>
      <c r="S63" s="24" t="s">
        <v>44</v>
      </c>
      <c r="T63" s="24" t="s">
        <v>45</v>
      </c>
      <c r="U63" s="24" t="s">
        <v>46</v>
      </c>
      <c r="V63" s="29" t="s">
        <v>52</v>
      </c>
      <c r="W63" s="31" t="s">
        <v>73</v>
      </c>
      <c r="X63" s="24" t="s">
        <v>21</v>
      </c>
      <c r="Y63" s="24" t="s">
        <v>69</v>
      </c>
      <c r="Z63" s="24" t="s">
        <v>70</v>
      </c>
      <c r="AA63" s="24" t="s">
        <v>53</v>
      </c>
      <c r="AB63" s="50" t="s">
        <v>109</v>
      </c>
      <c r="AC63" s="33" t="s">
        <v>50</v>
      </c>
    </row>
    <row r="64" spans="1:29" x14ac:dyDescent="0.15">
      <c r="A64" s="57"/>
      <c r="B64" s="24" t="s">
        <v>33</v>
      </c>
      <c r="C64" s="22">
        <f>COUNTIF(年間一覧表!$C$66:$I$71,LEFT(月別集計!C$63,1))</f>
        <v>0</v>
      </c>
      <c r="D64" s="22">
        <f>COUNTIF(年間一覧表!$C$66:$I$71,LEFT(月別集計!D$63,1))</f>
        <v>0</v>
      </c>
      <c r="E64" s="22">
        <f>COUNTIF(年間一覧表!$C$66:$I$71,LEFT(月別集計!E$63,1))</f>
        <v>0</v>
      </c>
      <c r="F64" s="22">
        <f>COUNTIF(年間一覧表!$C$66:$I$71,LEFT(月別集計!F$63,1))</f>
        <v>0</v>
      </c>
      <c r="G64" s="22">
        <f>COUNTIF(年間一覧表!$C$66:$I$71,LEFT(月別集計!G$63,1))</f>
        <v>0</v>
      </c>
      <c r="H64" s="22">
        <f>COUNTIF(年間一覧表!$C$66:$I$71,LEFT(月別集計!H$63,1))</f>
        <v>0</v>
      </c>
      <c r="I64" s="22">
        <f>COUNTIF(年間一覧表!$C$66:$I$71,LEFT(月別集計!I$63,1))</f>
        <v>0</v>
      </c>
      <c r="J64" s="22">
        <f>COUNTIF(年間一覧表!$C$66:$I$71,LEFT(月別集計!J$63,1))</f>
        <v>0</v>
      </c>
      <c r="K64" s="22">
        <f>COUNTIF(年間一覧表!$C$66:$I$71,LEFT(月別集計!K$63,1))</f>
        <v>0</v>
      </c>
      <c r="L64" s="22">
        <f>COUNTIF(年間一覧表!$C$66:$I$71,LEFT(月別集計!L$63,1))</f>
        <v>0</v>
      </c>
      <c r="M64" s="22">
        <f>COUNTIF(年間一覧表!$C$66:$I$71,LEFT(月別集計!M$63,1))</f>
        <v>0</v>
      </c>
      <c r="N64" s="22">
        <f>COUNTIF(年間一覧表!$C$66:$I$71,LEFT(月別集計!N$63,1))</f>
        <v>0</v>
      </c>
      <c r="O64" s="22">
        <f>COUNTIF(年間一覧表!$C$66:$I$71,LEFT(月別集計!O$63,1))</f>
        <v>0</v>
      </c>
      <c r="P64" s="28">
        <f>SUM(C64:O64)</f>
        <v>0</v>
      </c>
      <c r="Q64" s="22">
        <f>COUNTIF(年間一覧表!$C$66:$I$71,LEFT(月別集計!Q$63,1))</f>
        <v>0</v>
      </c>
      <c r="R64" s="22">
        <f>COUNTIF(年間一覧表!$C$66:$I$71,RIGHT(月別集計!R$63,1))</f>
        <v>0</v>
      </c>
      <c r="S64" s="22">
        <f>COUNTIF(年間一覧表!$C$66:$I$71,LEFT(月別集計!S$63,1))</f>
        <v>0</v>
      </c>
      <c r="T64" s="22">
        <f>COUNTIF(年間一覧表!$C$66:$I$71,LEFT(月別集計!T$63,1))</f>
        <v>0</v>
      </c>
      <c r="U64" s="22">
        <f>COUNTIF(年間一覧表!$C$66:$I$71,LEFT(月別集計!U$63,1))</f>
        <v>0</v>
      </c>
      <c r="V64" s="30">
        <f>SUM(Q64:U64)</f>
        <v>0</v>
      </c>
      <c r="W64" s="32">
        <f>P64+V64</f>
        <v>0</v>
      </c>
      <c r="X64" s="22">
        <f>COUNTIF(年間一覧表!$C$66:$I$71,LEFT(月別集計!X$63,1))</f>
        <v>0</v>
      </c>
      <c r="Y64" s="22">
        <f>COUNTIF(年間一覧表!$C$66:$I$71,LEFT(月別集計!Y$63,1))</f>
        <v>0</v>
      </c>
      <c r="Z64" s="22">
        <f>COUNTIF(年間一覧表!$C$66:$I$71,LEFT(月別集計!Z$63,1))</f>
        <v>0</v>
      </c>
      <c r="AA64" s="22">
        <f>COUNTIF(年間一覧表!$C$66:$I$71,LEFT(月別集計!AA$63,1))</f>
        <v>0</v>
      </c>
      <c r="AB64" s="22">
        <f>COUNTIF(年間一覧表!$C$66:$I$71,LEFT(月別集計!AB$63,1))</f>
        <v>0</v>
      </c>
      <c r="AC64" s="34">
        <f>SUM(W64:AB64)</f>
        <v>0</v>
      </c>
    </row>
    <row r="65" spans="1:29" x14ac:dyDescent="0.15">
      <c r="A65" s="57"/>
      <c r="B65" s="24" t="s">
        <v>35</v>
      </c>
      <c r="C65" s="22">
        <f>COUNTIF(年間一覧表!$J$66:$P$71,LEFT(月別集計!C$63,1))</f>
        <v>0</v>
      </c>
      <c r="D65" s="22">
        <f>COUNTIF(年間一覧表!$J$66:$P$71,LEFT(月別集計!D$63,1))</f>
        <v>0</v>
      </c>
      <c r="E65" s="22">
        <f>COUNTIF(年間一覧表!$J$66:$P$71,LEFT(月別集計!E$63,1))</f>
        <v>0</v>
      </c>
      <c r="F65" s="22">
        <f>COUNTIF(年間一覧表!$J$66:$P$71,LEFT(月別集計!F$63,1))</f>
        <v>0</v>
      </c>
      <c r="G65" s="22">
        <f>COUNTIF(年間一覧表!$J$66:$P$71,LEFT(月別集計!G$63,1))</f>
        <v>0</v>
      </c>
      <c r="H65" s="22">
        <f>COUNTIF(年間一覧表!$J$66:$P$71,LEFT(月別集計!H$63,1))</f>
        <v>0</v>
      </c>
      <c r="I65" s="22">
        <f>COUNTIF(年間一覧表!$J$66:$P$71,LEFT(月別集計!I$63,1))</f>
        <v>0</v>
      </c>
      <c r="J65" s="22">
        <f>COUNTIF(年間一覧表!$J$66:$P$71,LEFT(月別集計!J$63,1))</f>
        <v>0</v>
      </c>
      <c r="K65" s="22">
        <f>COUNTIF(年間一覧表!$J$66:$P$71,LEFT(月別集計!K$63,1))</f>
        <v>0</v>
      </c>
      <c r="L65" s="22">
        <f>COUNTIF(年間一覧表!$J$66:$P$71,LEFT(月別集計!L$63,1))</f>
        <v>0</v>
      </c>
      <c r="M65" s="22">
        <f>COUNTIF(年間一覧表!$J$66:$P$71,LEFT(月別集計!M$63,1))</f>
        <v>0</v>
      </c>
      <c r="N65" s="22">
        <f>COUNTIF(年間一覧表!$J$66:$P$71,LEFT(月別集計!N$63,1))</f>
        <v>0</v>
      </c>
      <c r="O65" s="22">
        <f>COUNTIF(年間一覧表!$J$66:$P$71,LEFT(月別集計!O$63,1))</f>
        <v>0</v>
      </c>
      <c r="P65" s="28">
        <f t="shared" ref="P65:P69" si="34">SUM(C65:O65)</f>
        <v>0</v>
      </c>
      <c r="Q65" s="22">
        <f>COUNTIF(年間一覧表!$J$66:$P$71,LEFT(月別集計!Q$63,1))</f>
        <v>0</v>
      </c>
      <c r="R65" s="22">
        <f>COUNTIF(年間一覧表!$J$66:$P$71,RIGHT(月別集計!R$63,1))</f>
        <v>0</v>
      </c>
      <c r="S65" s="22">
        <f>COUNTIF(年間一覧表!$J$66:$P$71,LEFT(月別集計!S$63,1))</f>
        <v>0</v>
      </c>
      <c r="T65" s="22">
        <f>COUNTIF(年間一覧表!$J$66:$P$71,LEFT(月別集計!T$63,1))</f>
        <v>0</v>
      </c>
      <c r="U65" s="22">
        <f>COUNTIF(年間一覧表!$J$66:$P$71,LEFT(月別集計!U$63,1))</f>
        <v>0</v>
      </c>
      <c r="V65" s="30">
        <f t="shared" ref="V65:V69" si="35">SUM(Q65:U65)</f>
        <v>0</v>
      </c>
      <c r="W65" s="32">
        <f t="shared" ref="W65:W69" si="36">P65+V65</f>
        <v>0</v>
      </c>
      <c r="X65" s="22">
        <f>COUNTIF(年間一覧表!$J$66:$P$71,LEFT(月別集計!X$63,1))</f>
        <v>0</v>
      </c>
      <c r="Y65" s="22">
        <f>COUNTIF(年間一覧表!$J$66:$P$71,LEFT(月別集計!Y$63,1))</f>
        <v>0</v>
      </c>
      <c r="Z65" s="22">
        <f>COUNTIF(年間一覧表!$J$66:$P$71,LEFT(月別集計!Z$63,1))</f>
        <v>0</v>
      </c>
      <c r="AA65" s="22">
        <f>COUNTIF(年間一覧表!$J$66:$P$71,LEFT(月別集計!AA$63,1))</f>
        <v>0</v>
      </c>
      <c r="AB65" s="22">
        <f>COUNTIF(年間一覧表!$J$66:$P$71,LEFT(月別集計!AB$63,1))</f>
        <v>0</v>
      </c>
      <c r="AC65" s="34">
        <f t="shared" ref="AC65:AC69" si="37">SUM(W65:AB65)</f>
        <v>0</v>
      </c>
    </row>
    <row r="66" spans="1:29" x14ac:dyDescent="0.15">
      <c r="A66" s="57"/>
      <c r="B66" s="24" t="s">
        <v>36</v>
      </c>
      <c r="C66" s="22">
        <f>COUNTIF(年間一覧表!$Q$66:$W$71,LEFT(月別集計!C$63,1))</f>
        <v>0</v>
      </c>
      <c r="D66" s="22">
        <f>COUNTIF(年間一覧表!$Q$66:$W$71,LEFT(月別集計!D$63,1))</f>
        <v>0</v>
      </c>
      <c r="E66" s="22">
        <f>COUNTIF(年間一覧表!$Q$66:$W$71,LEFT(月別集計!E$63,1))</f>
        <v>0</v>
      </c>
      <c r="F66" s="22">
        <f>COUNTIF(年間一覧表!$Q$66:$W$71,LEFT(月別集計!F$63,1))</f>
        <v>0</v>
      </c>
      <c r="G66" s="22">
        <f>COUNTIF(年間一覧表!$Q$66:$W$71,LEFT(月別集計!G$63,1))</f>
        <v>0</v>
      </c>
      <c r="H66" s="22">
        <f>COUNTIF(年間一覧表!$Q$66:$W$71,LEFT(月別集計!H$63,1))</f>
        <v>0</v>
      </c>
      <c r="I66" s="22">
        <f>COUNTIF(年間一覧表!$Q$66:$W$71,LEFT(月別集計!I$63,1))</f>
        <v>0</v>
      </c>
      <c r="J66" s="22">
        <f>COUNTIF(年間一覧表!$Q$66:$W$71,LEFT(月別集計!J$63,1))</f>
        <v>0</v>
      </c>
      <c r="K66" s="22">
        <f>COUNTIF(年間一覧表!$Q$66:$W$71,LEFT(月別集計!K$63,1))</f>
        <v>0</v>
      </c>
      <c r="L66" s="22">
        <f>COUNTIF(年間一覧表!$Q$66:$W$71,LEFT(月別集計!L$63,1))</f>
        <v>0</v>
      </c>
      <c r="M66" s="22">
        <f>COUNTIF(年間一覧表!$Q$66:$W$71,LEFT(月別集計!M$63,1))</f>
        <v>0</v>
      </c>
      <c r="N66" s="22">
        <f>COUNTIF(年間一覧表!$Q$66:$W$71,LEFT(月別集計!N$63,1))</f>
        <v>0</v>
      </c>
      <c r="O66" s="22">
        <f>COUNTIF(年間一覧表!$Q$66:$W$71,LEFT(月別集計!O$63,1))</f>
        <v>0</v>
      </c>
      <c r="P66" s="28">
        <f t="shared" si="34"/>
        <v>0</v>
      </c>
      <c r="Q66" s="22">
        <f>COUNTIF(年間一覧表!$Q$66:$W$71,LEFT(月別集計!Q$63,1))</f>
        <v>0</v>
      </c>
      <c r="R66" s="22">
        <f>COUNTIF(年間一覧表!$Q$66:$W$71,RIGHT(月別集計!R$63,1))</f>
        <v>0</v>
      </c>
      <c r="S66" s="22">
        <f>COUNTIF(年間一覧表!$Q$66:$W$71,LEFT(月別集計!S$63,1))</f>
        <v>0</v>
      </c>
      <c r="T66" s="22">
        <f>COUNTIF(年間一覧表!$Q$66:$W$71,LEFT(月別集計!T$63,1))</f>
        <v>0</v>
      </c>
      <c r="U66" s="22">
        <f>COUNTIF(年間一覧表!$Q$66:$W$71,LEFT(月別集計!U$63,1))</f>
        <v>0</v>
      </c>
      <c r="V66" s="30">
        <f t="shared" si="35"/>
        <v>0</v>
      </c>
      <c r="W66" s="32">
        <f t="shared" si="36"/>
        <v>0</v>
      </c>
      <c r="X66" s="22">
        <f>COUNTIF(年間一覧表!$Q$66:$W$71,LEFT(月別集計!X$63,1))</f>
        <v>0</v>
      </c>
      <c r="Y66" s="22">
        <f>COUNTIF(年間一覧表!$Q$66:$W$71,LEFT(月別集計!Y$63,1))</f>
        <v>0</v>
      </c>
      <c r="Z66" s="22">
        <f>COUNTIF(年間一覧表!$Q$66:$W$71,LEFT(月別集計!Z$63,1))</f>
        <v>0</v>
      </c>
      <c r="AA66" s="22">
        <f>COUNTIF(年間一覧表!$Q$66:$W$71,LEFT(月別集計!AA$63,1))</f>
        <v>0</v>
      </c>
      <c r="AB66" s="22">
        <f>COUNTIF(年間一覧表!$Q$66:$W$71,LEFT(月別集計!AB$63,1))</f>
        <v>0</v>
      </c>
      <c r="AC66" s="34">
        <f t="shared" si="37"/>
        <v>0</v>
      </c>
    </row>
    <row r="67" spans="1:29" x14ac:dyDescent="0.15">
      <c r="A67" s="57"/>
      <c r="B67" s="24" t="s">
        <v>37</v>
      </c>
      <c r="C67" s="22">
        <f>COUNTIF(年間一覧表!$X$66:$AD$71,LEFT(月別集計!C$63,1))</f>
        <v>0</v>
      </c>
      <c r="D67" s="22">
        <f>COUNTIF(年間一覧表!$X$66:$AD$71,LEFT(月別集計!D$63,1))</f>
        <v>0</v>
      </c>
      <c r="E67" s="22">
        <f>COUNTIF(年間一覧表!$X$66:$AD$71,LEFT(月別集計!E$63,1))</f>
        <v>0</v>
      </c>
      <c r="F67" s="22">
        <f>COUNTIF(年間一覧表!$X$66:$AD$71,LEFT(月別集計!F$63,1))</f>
        <v>0</v>
      </c>
      <c r="G67" s="22">
        <f>COUNTIF(年間一覧表!$X$66:$AD$71,LEFT(月別集計!G$63,1))</f>
        <v>0</v>
      </c>
      <c r="H67" s="22">
        <f>COUNTIF(年間一覧表!$X$66:$AD$71,LEFT(月別集計!H$63,1))</f>
        <v>0</v>
      </c>
      <c r="I67" s="22">
        <f>COUNTIF(年間一覧表!$X$66:$AD$71,LEFT(月別集計!I$63,1))</f>
        <v>0</v>
      </c>
      <c r="J67" s="22">
        <f>COUNTIF(年間一覧表!$X$66:$AD$71,LEFT(月別集計!J$63,1))</f>
        <v>0</v>
      </c>
      <c r="K67" s="22">
        <f>COUNTIF(年間一覧表!$X$66:$AD$71,LEFT(月別集計!K$63,1))</f>
        <v>0</v>
      </c>
      <c r="L67" s="22">
        <f>COUNTIF(年間一覧表!$X$66:$AD$71,LEFT(月別集計!L$63,1))</f>
        <v>0</v>
      </c>
      <c r="M67" s="22">
        <f>COUNTIF(年間一覧表!$X$66:$AD$71,LEFT(月別集計!M$63,1))</f>
        <v>0</v>
      </c>
      <c r="N67" s="22">
        <f>COUNTIF(年間一覧表!$X$66:$AD$71,LEFT(月別集計!N$63,1))</f>
        <v>0</v>
      </c>
      <c r="O67" s="22">
        <f>COUNTIF(年間一覧表!$X$66:$AD$71,LEFT(月別集計!O$63,1))</f>
        <v>0</v>
      </c>
      <c r="P67" s="28">
        <f t="shared" si="34"/>
        <v>0</v>
      </c>
      <c r="Q67" s="22">
        <f>COUNTIF(年間一覧表!$X$66:$AD$71,LEFT(月別集計!Q$63,1))</f>
        <v>0</v>
      </c>
      <c r="R67" s="22">
        <f>COUNTIF(年間一覧表!$X$66:$AD$71,RIGHT(月別集計!R$63,1))</f>
        <v>0</v>
      </c>
      <c r="S67" s="22">
        <f>COUNTIF(年間一覧表!$X$66:$AD$71,LEFT(月別集計!S$63,1))</f>
        <v>0</v>
      </c>
      <c r="T67" s="22">
        <f>COUNTIF(年間一覧表!$X$66:$AD$71,LEFT(月別集計!T$63,1))</f>
        <v>0</v>
      </c>
      <c r="U67" s="22">
        <f>COUNTIF(年間一覧表!$X$66:$AD$71,LEFT(月別集計!U$63,1))</f>
        <v>0</v>
      </c>
      <c r="V67" s="30">
        <f t="shared" si="35"/>
        <v>0</v>
      </c>
      <c r="W67" s="32">
        <f t="shared" si="36"/>
        <v>0</v>
      </c>
      <c r="X67" s="22">
        <f>COUNTIF(年間一覧表!$X$66:$AD$71,LEFT(月別集計!X$63,1))</f>
        <v>0</v>
      </c>
      <c r="Y67" s="22">
        <f>COUNTIF(年間一覧表!$X$66:$AD$71,LEFT(月別集計!Y$63,1))</f>
        <v>0</v>
      </c>
      <c r="Z67" s="22">
        <f>COUNTIF(年間一覧表!$X$66:$AD$71,LEFT(月別集計!Z$63,1))</f>
        <v>0</v>
      </c>
      <c r="AA67" s="22">
        <f>COUNTIF(年間一覧表!$X$66:$AD$71,LEFT(月別集計!AA$63,1))</f>
        <v>0</v>
      </c>
      <c r="AB67" s="22">
        <f>COUNTIF(年間一覧表!$X$66:$AD$71,LEFT(月別集計!AB$63,1))</f>
        <v>0</v>
      </c>
      <c r="AC67" s="34">
        <f t="shared" si="37"/>
        <v>0</v>
      </c>
    </row>
    <row r="68" spans="1:29" x14ac:dyDescent="0.15">
      <c r="A68" s="57"/>
      <c r="B68" s="24" t="s">
        <v>38</v>
      </c>
      <c r="C68" s="22">
        <f>COUNTIF(年間一覧表!$AE$66:$AK$71,LEFT(月別集計!C$63,1))</f>
        <v>0</v>
      </c>
      <c r="D68" s="22">
        <f>COUNTIF(年間一覧表!$AE$66:$AK$71,LEFT(月別集計!D$63,1))</f>
        <v>0</v>
      </c>
      <c r="E68" s="22">
        <f>COUNTIF(年間一覧表!$AE$66:$AK$71,LEFT(月別集計!E$63,1))</f>
        <v>0</v>
      </c>
      <c r="F68" s="22">
        <f>COUNTIF(年間一覧表!$AE$66:$AK$71,LEFT(月別集計!F$63,1))</f>
        <v>0</v>
      </c>
      <c r="G68" s="22">
        <f>COUNTIF(年間一覧表!$AE$66:$AK$71,LEFT(月別集計!G$63,1))</f>
        <v>0</v>
      </c>
      <c r="H68" s="22">
        <f>COUNTIF(年間一覧表!$AE$66:$AK$71,LEFT(月別集計!H$63,1))</f>
        <v>0</v>
      </c>
      <c r="I68" s="22">
        <f>COUNTIF(年間一覧表!$AE$66:$AK$71,LEFT(月別集計!I$63,1))</f>
        <v>0</v>
      </c>
      <c r="J68" s="22">
        <f>COUNTIF(年間一覧表!$AE$66:$AK$71,LEFT(月別集計!J$63,1))</f>
        <v>0</v>
      </c>
      <c r="K68" s="22">
        <f>COUNTIF(年間一覧表!$AE$66:$AK$71,LEFT(月別集計!K$63,1))</f>
        <v>0</v>
      </c>
      <c r="L68" s="22">
        <f>COUNTIF(年間一覧表!$AE$66:$AK$71,LEFT(月別集計!L$63,1))</f>
        <v>0</v>
      </c>
      <c r="M68" s="22">
        <f>COUNTIF(年間一覧表!$AE$66:$AK$71,LEFT(月別集計!M$63,1))</f>
        <v>0</v>
      </c>
      <c r="N68" s="22">
        <f>COUNTIF(年間一覧表!$AE$66:$AK$71,LEFT(月別集計!N$63,1))</f>
        <v>0</v>
      </c>
      <c r="O68" s="22">
        <f>COUNTIF(年間一覧表!$AE$66:$AK$71,LEFT(月別集計!O$63,1))</f>
        <v>0</v>
      </c>
      <c r="P68" s="28">
        <f t="shared" si="34"/>
        <v>0</v>
      </c>
      <c r="Q68" s="22">
        <f>COUNTIF(年間一覧表!$AE$66:$AK$71,LEFT(月別集計!Q$63,1))</f>
        <v>0</v>
      </c>
      <c r="R68" s="22">
        <f>COUNTIF(年間一覧表!$AE$66:$AK$71,RIGHT(月別集計!R$63,1))</f>
        <v>0</v>
      </c>
      <c r="S68" s="22">
        <f>COUNTIF(年間一覧表!$AE$66:$AK$71,LEFT(月別集計!S$63,1))</f>
        <v>0</v>
      </c>
      <c r="T68" s="22">
        <f>COUNTIF(年間一覧表!$AE$66:$AK$71,LEFT(月別集計!T$63,1))</f>
        <v>0</v>
      </c>
      <c r="U68" s="22">
        <f>COUNTIF(年間一覧表!$AE$66:$AK$71,LEFT(月別集計!U$63,1))</f>
        <v>0</v>
      </c>
      <c r="V68" s="30">
        <f t="shared" si="35"/>
        <v>0</v>
      </c>
      <c r="W68" s="32">
        <f t="shared" si="36"/>
        <v>0</v>
      </c>
      <c r="X68" s="22">
        <f>COUNTIF(年間一覧表!$AE$66:$AK$71,LEFT(月別集計!X$63,1))</f>
        <v>0</v>
      </c>
      <c r="Y68" s="22">
        <f>COUNTIF(年間一覧表!$AE$66:$AK$71,LEFT(月別集計!Y$63,1))</f>
        <v>0</v>
      </c>
      <c r="Z68" s="22">
        <f>COUNTIF(年間一覧表!$AE$66:$AK$71,LEFT(月別集計!Z$63,1))</f>
        <v>0</v>
      </c>
      <c r="AA68" s="22">
        <f>COUNTIF(年間一覧表!$AE$66:$AK$71,LEFT(月別集計!AA$63,1))</f>
        <v>0</v>
      </c>
      <c r="AB68" s="22">
        <f>COUNTIF(年間一覧表!$AE$66:$AK$71,LEFT(月別集計!AB$63,1))</f>
        <v>0</v>
      </c>
      <c r="AC68" s="34">
        <f t="shared" si="37"/>
        <v>0</v>
      </c>
    </row>
    <row r="69" spans="1:29" x14ac:dyDescent="0.15">
      <c r="A69" s="57"/>
      <c r="B69" s="24" t="s">
        <v>39</v>
      </c>
      <c r="C69" s="22">
        <f>COUNTIF(年間一覧表!$AL$66:$AM$71,LEFT(月別集計!C$63,1))</f>
        <v>0</v>
      </c>
      <c r="D69" s="22">
        <f>COUNTIF(年間一覧表!$AL$66:$AM$71,LEFT(月別集計!D$63,1))</f>
        <v>0</v>
      </c>
      <c r="E69" s="22">
        <f>COUNTIF(年間一覧表!$AL$66:$AM$71,LEFT(月別集計!E$63,1))</f>
        <v>0</v>
      </c>
      <c r="F69" s="22">
        <f>COUNTIF(年間一覧表!$AL$66:$AM$71,LEFT(月別集計!F$63,1))</f>
        <v>0</v>
      </c>
      <c r="G69" s="22">
        <f>COUNTIF(年間一覧表!$AL$66:$AM$71,LEFT(月別集計!G$63,1))</f>
        <v>0</v>
      </c>
      <c r="H69" s="22">
        <f>COUNTIF(年間一覧表!$AL$66:$AM$71,LEFT(月別集計!H$63,1))</f>
        <v>0</v>
      </c>
      <c r="I69" s="22">
        <f>COUNTIF(年間一覧表!$AL$66:$AM$71,LEFT(月別集計!I$63,1))</f>
        <v>0</v>
      </c>
      <c r="J69" s="22">
        <f>COUNTIF(年間一覧表!$AL$66:$AM$71,LEFT(月別集計!J$63,1))</f>
        <v>0</v>
      </c>
      <c r="K69" s="22">
        <f>COUNTIF(年間一覧表!$AL$66:$AM$71,LEFT(月別集計!K$63,1))</f>
        <v>0</v>
      </c>
      <c r="L69" s="22">
        <f>COUNTIF(年間一覧表!$AL$66:$AM$71,LEFT(月別集計!L$63,1))</f>
        <v>0</v>
      </c>
      <c r="M69" s="22">
        <f>COUNTIF(年間一覧表!$AL$66:$AM$71,LEFT(月別集計!M$63,1))</f>
        <v>0</v>
      </c>
      <c r="N69" s="22">
        <f>COUNTIF(年間一覧表!$AL$66:$AM$71,LEFT(月別集計!N$63,1))</f>
        <v>0</v>
      </c>
      <c r="O69" s="22">
        <f>COUNTIF(年間一覧表!$AL$66:$AM$71,LEFT(月別集計!O$63,1))</f>
        <v>0</v>
      </c>
      <c r="P69" s="28">
        <f t="shared" si="34"/>
        <v>0</v>
      </c>
      <c r="Q69" s="22">
        <f>COUNTIF(年間一覧表!$AL$66:$AM$71,LEFT(月別集計!Q$63,1))</f>
        <v>0</v>
      </c>
      <c r="R69" s="22">
        <f>COUNTIF(年間一覧表!$AL$66:$AM$71,RIGHT(月別集計!R$63,1))</f>
        <v>0</v>
      </c>
      <c r="S69" s="22">
        <f>COUNTIF(年間一覧表!$AL$66:$AM$71,LEFT(月別集計!S$63,1))</f>
        <v>0</v>
      </c>
      <c r="T69" s="22">
        <f>COUNTIF(年間一覧表!$AL$66:$AM$71,LEFT(月別集計!T$63,1))</f>
        <v>0</v>
      </c>
      <c r="U69" s="22">
        <f>COUNTIF(年間一覧表!$AL$66:$AM$71,LEFT(月別集計!U$63,1))</f>
        <v>0</v>
      </c>
      <c r="V69" s="30">
        <f t="shared" si="35"/>
        <v>0</v>
      </c>
      <c r="W69" s="32">
        <f t="shared" si="36"/>
        <v>0</v>
      </c>
      <c r="X69" s="22">
        <f>COUNTIF(年間一覧表!$AL$66:$AM$71,LEFT(月別集計!X$63,1))</f>
        <v>0</v>
      </c>
      <c r="Y69" s="22">
        <f>COUNTIF(年間一覧表!$AL$66:$AM$71,LEFT(月別集計!Y$63,1))</f>
        <v>0</v>
      </c>
      <c r="Z69" s="22">
        <f>COUNTIF(年間一覧表!$AL$66:$AM$71,LEFT(月別集計!Z$63,1))</f>
        <v>0</v>
      </c>
      <c r="AA69" s="22">
        <f>COUNTIF(年間一覧表!$AL$66:$AM$71,LEFT(月別集計!AA$63,1))</f>
        <v>0</v>
      </c>
      <c r="AB69" s="22">
        <f>COUNTIF(年間一覧表!$AL$66:$AM$71,LEFT(月別集計!AB$63,1))</f>
        <v>0</v>
      </c>
      <c r="AC69" s="34">
        <f t="shared" si="37"/>
        <v>0</v>
      </c>
    </row>
    <row r="70" spans="1:29" x14ac:dyDescent="0.15">
      <c r="A70" s="58"/>
      <c r="B70" s="24" t="s">
        <v>40</v>
      </c>
      <c r="C70" s="26">
        <f>SUM(C64:C69)</f>
        <v>0</v>
      </c>
      <c r="D70" s="26">
        <f t="shared" ref="D70:AC70" si="38">SUM(D64:D69)</f>
        <v>0</v>
      </c>
      <c r="E70" s="26">
        <f t="shared" si="38"/>
        <v>0</v>
      </c>
      <c r="F70" s="26">
        <f t="shared" si="38"/>
        <v>0</v>
      </c>
      <c r="G70" s="26">
        <f t="shared" si="38"/>
        <v>0</v>
      </c>
      <c r="H70" s="26">
        <f t="shared" si="38"/>
        <v>0</v>
      </c>
      <c r="I70" s="26">
        <f t="shared" si="38"/>
        <v>0</v>
      </c>
      <c r="J70" s="26">
        <f t="shared" si="38"/>
        <v>0</v>
      </c>
      <c r="K70" s="26">
        <f t="shared" si="38"/>
        <v>0</v>
      </c>
      <c r="L70" s="26">
        <f t="shared" si="38"/>
        <v>0</v>
      </c>
      <c r="M70" s="26">
        <f t="shared" si="38"/>
        <v>0</v>
      </c>
      <c r="N70" s="26">
        <f t="shared" si="38"/>
        <v>0</v>
      </c>
      <c r="O70" s="26">
        <f t="shared" si="38"/>
        <v>0</v>
      </c>
      <c r="P70" s="28">
        <f t="shared" si="38"/>
        <v>0</v>
      </c>
      <c r="Q70" s="26">
        <f t="shared" si="38"/>
        <v>0</v>
      </c>
      <c r="R70" s="26">
        <f t="shared" si="38"/>
        <v>0</v>
      </c>
      <c r="S70" s="26">
        <f t="shared" si="38"/>
        <v>0</v>
      </c>
      <c r="T70" s="26">
        <f t="shared" si="38"/>
        <v>0</v>
      </c>
      <c r="U70" s="26">
        <f t="shared" si="38"/>
        <v>0</v>
      </c>
      <c r="V70" s="30">
        <f t="shared" si="38"/>
        <v>0</v>
      </c>
      <c r="W70" s="32">
        <f t="shared" si="38"/>
        <v>0</v>
      </c>
      <c r="X70" s="26">
        <f t="shared" si="38"/>
        <v>0</v>
      </c>
      <c r="Y70" s="26">
        <f t="shared" si="38"/>
        <v>0</v>
      </c>
      <c r="Z70" s="26">
        <f t="shared" si="38"/>
        <v>0</v>
      </c>
      <c r="AA70" s="26">
        <f t="shared" si="38"/>
        <v>0</v>
      </c>
      <c r="AB70" s="26">
        <f t="shared" ref="AB70" si="39">SUM(AB64:AB69)</f>
        <v>0</v>
      </c>
      <c r="AC70" s="34">
        <f t="shared" si="38"/>
        <v>0</v>
      </c>
    </row>
    <row r="72" spans="1:29" x14ac:dyDescent="0.15">
      <c r="A72" s="56" t="s">
        <v>68</v>
      </c>
      <c r="B72" s="24"/>
      <c r="C72" s="59" t="s">
        <v>41</v>
      </c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1"/>
      <c r="Q72" s="62" t="s">
        <v>51</v>
      </c>
      <c r="R72" s="62"/>
      <c r="S72" s="62"/>
      <c r="T72" s="62"/>
      <c r="U72" s="62"/>
      <c r="V72" s="62"/>
      <c r="W72" s="31"/>
      <c r="X72" s="53" t="s">
        <v>53</v>
      </c>
      <c r="Y72" s="54"/>
      <c r="Z72" s="54"/>
      <c r="AA72" s="54"/>
      <c r="AB72" s="55"/>
      <c r="AC72" s="34"/>
    </row>
    <row r="73" spans="1:29" x14ac:dyDescent="0.15">
      <c r="A73" s="57"/>
      <c r="B73" s="24"/>
      <c r="C73" s="24" t="s">
        <v>8</v>
      </c>
      <c r="D73" s="24" t="s">
        <v>10</v>
      </c>
      <c r="E73" s="24" t="s">
        <v>11</v>
      </c>
      <c r="F73" s="24" t="s">
        <v>12</v>
      </c>
      <c r="G73" s="24" t="s">
        <v>13</v>
      </c>
      <c r="H73" s="24" t="s">
        <v>14</v>
      </c>
      <c r="I73" s="24" t="s">
        <v>15</v>
      </c>
      <c r="J73" s="24" t="s">
        <v>17</v>
      </c>
      <c r="K73" s="24" t="s">
        <v>16</v>
      </c>
      <c r="L73" s="24" t="s">
        <v>19</v>
      </c>
      <c r="M73" s="24" t="s">
        <v>20</v>
      </c>
      <c r="N73" s="24" t="s">
        <v>18</v>
      </c>
      <c r="O73" s="24" t="s">
        <v>34</v>
      </c>
      <c r="P73" s="27" t="s">
        <v>40</v>
      </c>
      <c r="Q73" s="24" t="s">
        <v>42</v>
      </c>
      <c r="R73" s="24" t="s">
        <v>43</v>
      </c>
      <c r="S73" s="24" t="s">
        <v>44</v>
      </c>
      <c r="T73" s="24" t="s">
        <v>45</v>
      </c>
      <c r="U73" s="24" t="s">
        <v>46</v>
      </c>
      <c r="V73" s="29" t="s">
        <v>52</v>
      </c>
      <c r="W73" s="31" t="s">
        <v>73</v>
      </c>
      <c r="X73" s="24" t="s">
        <v>21</v>
      </c>
      <c r="Y73" s="24" t="s">
        <v>69</v>
      </c>
      <c r="Z73" s="24" t="s">
        <v>70</v>
      </c>
      <c r="AA73" s="24" t="s">
        <v>53</v>
      </c>
      <c r="AB73" s="50" t="s">
        <v>109</v>
      </c>
      <c r="AC73" s="33" t="s">
        <v>50</v>
      </c>
    </row>
    <row r="74" spans="1:29" x14ac:dyDescent="0.15">
      <c r="A74" s="57"/>
      <c r="B74" s="24" t="s">
        <v>33</v>
      </c>
      <c r="C74" s="22">
        <f>COUNTIF(年間一覧表!$C$76:$I$81,LEFT(月別集計!C$73,1))</f>
        <v>0</v>
      </c>
      <c r="D74" s="22">
        <f>COUNTIF(年間一覧表!$C$76:$I$81,LEFT(月別集計!D$73,1))</f>
        <v>0</v>
      </c>
      <c r="E74" s="22">
        <f>COUNTIF(年間一覧表!$C$76:$I$81,LEFT(月別集計!E$73,1))</f>
        <v>0</v>
      </c>
      <c r="F74" s="22">
        <f>COUNTIF(年間一覧表!$C$76:$I$81,LEFT(月別集計!F$73,1))</f>
        <v>0</v>
      </c>
      <c r="G74" s="22">
        <f>COUNTIF(年間一覧表!$C$76:$I$81,LEFT(月別集計!G$73,1))</f>
        <v>0</v>
      </c>
      <c r="H74" s="22">
        <f>COUNTIF(年間一覧表!$C$76:$I$81,LEFT(月別集計!H$73,1))</f>
        <v>0</v>
      </c>
      <c r="I74" s="22">
        <f>COUNTIF(年間一覧表!$C$76:$I$81,LEFT(月別集計!I$73,1))</f>
        <v>0</v>
      </c>
      <c r="J74" s="22">
        <f>COUNTIF(年間一覧表!$C$76:$I$81,LEFT(月別集計!J$73,1))</f>
        <v>0</v>
      </c>
      <c r="K74" s="22">
        <f>COUNTIF(年間一覧表!$C$76:$I$81,LEFT(月別集計!K$73,1))</f>
        <v>0</v>
      </c>
      <c r="L74" s="22">
        <f>COUNTIF(年間一覧表!$C$76:$I$81,LEFT(月別集計!L$73,1))</f>
        <v>0</v>
      </c>
      <c r="M74" s="22">
        <f>COUNTIF(年間一覧表!$C$76:$I$81,LEFT(月別集計!M$73,1))</f>
        <v>0</v>
      </c>
      <c r="N74" s="22">
        <f>COUNTIF(年間一覧表!$C$76:$I$81,LEFT(月別集計!N$73,1))</f>
        <v>0</v>
      </c>
      <c r="O74" s="22">
        <f>COUNTIF(年間一覧表!$C$76:$I$81,LEFT(月別集計!O$73,1))</f>
        <v>0</v>
      </c>
      <c r="P74" s="28">
        <f>SUM(C74:O74)</f>
        <v>0</v>
      </c>
      <c r="Q74" s="22">
        <f>COUNTIF(年間一覧表!$C$76:$I$81,LEFT(月別集計!Q$73,1))</f>
        <v>0</v>
      </c>
      <c r="R74" s="22">
        <f>COUNTIF(年間一覧表!$C$76:$I$81,RIGHT(月別集計!R$73,1))</f>
        <v>0</v>
      </c>
      <c r="S74" s="22">
        <f>COUNTIF(年間一覧表!$C$76:$I$81,LEFT(月別集計!S$73,1))</f>
        <v>0</v>
      </c>
      <c r="T74" s="22">
        <f>COUNTIF(年間一覧表!$C$76:$I$81,LEFT(月別集計!T$73,1))</f>
        <v>0</v>
      </c>
      <c r="U74" s="22">
        <f>COUNTIF(年間一覧表!$C$76:$I$81,LEFT(月別集計!U$73,1))</f>
        <v>0</v>
      </c>
      <c r="V74" s="30">
        <f>SUM(Q74:U74)</f>
        <v>0</v>
      </c>
      <c r="W74" s="32">
        <f>P74+V74</f>
        <v>0</v>
      </c>
      <c r="X74" s="22">
        <f>COUNTIF(年間一覧表!$C$76:$I$81,LEFT(月別集計!X$73,1))</f>
        <v>0</v>
      </c>
      <c r="Y74" s="22">
        <f>COUNTIF(年間一覧表!$C$76:$I$81,LEFT(月別集計!Y$73,1))</f>
        <v>0</v>
      </c>
      <c r="Z74" s="22">
        <f>COUNTIF(年間一覧表!$C$76:$I$81,LEFT(月別集計!Z$73,1))</f>
        <v>0</v>
      </c>
      <c r="AA74" s="22">
        <f>COUNTIF(年間一覧表!$C$76:$I$81,LEFT(月別集計!AA$73,1))</f>
        <v>0</v>
      </c>
      <c r="AB74" s="22">
        <f>COUNTIF(年間一覧表!$C$76:$I$81,LEFT(月別集計!AB$73,1))</f>
        <v>0</v>
      </c>
      <c r="AC74" s="34">
        <f>SUM(W74:AB74)</f>
        <v>0</v>
      </c>
    </row>
    <row r="75" spans="1:29" x14ac:dyDescent="0.15">
      <c r="A75" s="57"/>
      <c r="B75" s="24" t="s">
        <v>35</v>
      </c>
      <c r="C75" s="22">
        <f>COUNTIF(年間一覧表!$J$76:$P$81,LEFT(月別集計!C$73,1))</f>
        <v>0</v>
      </c>
      <c r="D75" s="22">
        <f>COUNTIF(年間一覧表!$J$76:$P$81,LEFT(月別集計!D$73,1))</f>
        <v>0</v>
      </c>
      <c r="E75" s="22">
        <f>COUNTIF(年間一覧表!$J$76:$P$81,LEFT(月別集計!E$73,1))</f>
        <v>0</v>
      </c>
      <c r="F75" s="22">
        <f>COUNTIF(年間一覧表!$J$76:$P$81,LEFT(月別集計!F$73,1))</f>
        <v>0</v>
      </c>
      <c r="G75" s="22">
        <f>COUNTIF(年間一覧表!$J$76:$P$81,LEFT(月別集計!G$73,1))</f>
        <v>0</v>
      </c>
      <c r="H75" s="22">
        <f>COUNTIF(年間一覧表!$J$76:$P$81,LEFT(月別集計!H$73,1))</f>
        <v>0</v>
      </c>
      <c r="I75" s="22">
        <f>COUNTIF(年間一覧表!$J$76:$P$81,LEFT(月別集計!I$73,1))</f>
        <v>0</v>
      </c>
      <c r="J75" s="22">
        <f>COUNTIF(年間一覧表!$J$76:$P$81,LEFT(月別集計!J$73,1))</f>
        <v>0</v>
      </c>
      <c r="K75" s="22">
        <f>COUNTIF(年間一覧表!$J$76:$P$81,LEFT(月別集計!K$73,1))</f>
        <v>0</v>
      </c>
      <c r="L75" s="22">
        <f>COUNTIF(年間一覧表!$J$76:$P$81,LEFT(月別集計!L$73,1))</f>
        <v>0</v>
      </c>
      <c r="M75" s="22">
        <f>COUNTIF(年間一覧表!$J$76:$P$81,LEFT(月別集計!M$73,1))</f>
        <v>0</v>
      </c>
      <c r="N75" s="22">
        <f>COUNTIF(年間一覧表!$J$76:$P$81,LEFT(月別集計!N$73,1))</f>
        <v>0</v>
      </c>
      <c r="O75" s="22">
        <f>COUNTIF(年間一覧表!$J$76:$P$81,LEFT(月別集計!O$73,1))</f>
        <v>0</v>
      </c>
      <c r="P75" s="28">
        <f t="shared" ref="P75:P79" si="40">SUM(C75:O75)</f>
        <v>0</v>
      </c>
      <c r="Q75" s="22">
        <f>COUNTIF(年間一覧表!$J$76:$P$81,LEFT(月別集計!Q$73,1))</f>
        <v>0</v>
      </c>
      <c r="R75" s="22">
        <f>COUNTIF(年間一覧表!$J$76:$P$81,RIGHT(月別集計!R$73,1))</f>
        <v>0</v>
      </c>
      <c r="S75" s="22">
        <f>COUNTIF(年間一覧表!$J$76:$P$81,LEFT(月別集計!S$73,1))</f>
        <v>0</v>
      </c>
      <c r="T75" s="22">
        <f>COUNTIF(年間一覧表!$J$76:$P$81,LEFT(月別集計!T$73,1))</f>
        <v>0</v>
      </c>
      <c r="U75" s="22">
        <f>COUNTIF(年間一覧表!$J$76:$P$81,LEFT(月別集計!U$73,1))</f>
        <v>0</v>
      </c>
      <c r="V75" s="30">
        <f t="shared" ref="V75:V79" si="41">SUM(Q75:U75)</f>
        <v>0</v>
      </c>
      <c r="W75" s="32">
        <f t="shared" ref="W75:W79" si="42">P75+V75</f>
        <v>0</v>
      </c>
      <c r="X75" s="22">
        <f>COUNTIF(年間一覧表!$J$76:$P$81,LEFT(月別集計!X$73,1))</f>
        <v>0</v>
      </c>
      <c r="Y75" s="22">
        <f>COUNTIF(年間一覧表!$J$76:$P$81,LEFT(月別集計!Y$73,1))</f>
        <v>0</v>
      </c>
      <c r="Z75" s="22">
        <f>COUNTIF(年間一覧表!$J$76:$P$81,LEFT(月別集計!Z$73,1))</f>
        <v>0</v>
      </c>
      <c r="AA75" s="22">
        <f>COUNTIF(年間一覧表!$J$76:$P$81,LEFT(月別集計!AA$73,1))</f>
        <v>0</v>
      </c>
      <c r="AB75" s="22">
        <f>COUNTIF(年間一覧表!$J$76:$P$81,LEFT(月別集計!AB$73,1))</f>
        <v>0</v>
      </c>
      <c r="AC75" s="34">
        <f t="shared" ref="AC75:AC79" si="43">SUM(W75:AB75)</f>
        <v>0</v>
      </c>
    </row>
    <row r="76" spans="1:29" x14ac:dyDescent="0.15">
      <c r="A76" s="57"/>
      <c r="B76" s="24" t="s">
        <v>36</v>
      </c>
      <c r="C76" s="22">
        <f>COUNTIF(年間一覧表!$Q$76:$W$81,LEFT(月別集計!C$73,1))</f>
        <v>0</v>
      </c>
      <c r="D76" s="22">
        <f>COUNTIF(年間一覧表!$Q$76:$W$81,LEFT(月別集計!D$73,1))</f>
        <v>0</v>
      </c>
      <c r="E76" s="22">
        <f>COUNTIF(年間一覧表!$Q$76:$W$81,LEFT(月別集計!E$73,1))</f>
        <v>0</v>
      </c>
      <c r="F76" s="22">
        <f>COUNTIF(年間一覧表!$Q$76:$W$81,LEFT(月別集計!F$73,1))</f>
        <v>0</v>
      </c>
      <c r="G76" s="22">
        <f>COUNTIF(年間一覧表!$Q$76:$W$81,LEFT(月別集計!G$73,1))</f>
        <v>0</v>
      </c>
      <c r="H76" s="22">
        <f>COUNTIF(年間一覧表!$Q$76:$W$81,LEFT(月別集計!H$73,1))</f>
        <v>0</v>
      </c>
      <c r="I76" s="22">
        <f>COUNTIF(年間一覧表!$Q$76:$W$81,LEFT(月別集計!I$73,1))</f>
        <v>0</v>
      </c>
      <c r="J76" s="22">
        <f>COUNTIF(年間一覧表!$Q$76:$W$81,LEFT(月別集計!J$73,1))</f>
        <v>0</v>
      </c>
      <c r="K76" s="22">
        <f>COUNTIF(年間一覧表!$Q$76:$W$81,LEFT(月別集計!K$73,1))</f>
        <v>0</v>
      </c>
      <c r="L76" s="22">
        <f>COUNTIF(年間一覧表!$Q$76:$W$81,LEFT(月別集計!L$73,1))</f>
        <v>0</v>
      </c>
      <c r="M76" s="22">
        <f>COUNTIF(年間一覧表!$Q$76:$W$81,LEFT(月別集計!M$73,1))</f>
        <v>0</v>
      </c>
      <c r="N76" s="22">
        <f>COUNTIF(年間一覧表!$Q$76:$W$81,LEFT(月別集計!N$73,1))</f>
        <v>0</v>
      </c>
      <c r="O76" s="22">
        <f>COUNTIF(年間一覧表!$Q$76:$W$81,LEFT(月別集計!O$73,1))</f>
        <v>0</v>
      </c>
      <c r="P76" s="28">
        <f t="shared" si="40"/>
        <v>0</v>
      </c>
      <c r="Q76" s="22">
        <f>COUNTIF(年間一覧表!$Q$76:$W$81,LEFT(月別集計!Q$73,1))</f>
        <v>0</v>
      </c>
      <c r="R76" s="22">
        <f>COUNTIF(年間一覧表!$Q$76:$W$81,RIGHT(月別集計!R$73,1))</f>
        <v>0</v>
      </c>
      <c r="S76" s="22">
        <f>COUNTIF(年間一覧表!$Q$76:$W$81,LEFT(月別集計!S$73,1))</f>
        <v>0</v>
      </c>
      <c r="T76" s="22">
        <f>COUNTIF(年間一覧表!$Q$76:$W$81,LEFT(月別集計!T$73,1))</f>
        <v>0</v>
      </c>
      <c r="U76" s="22">
        <f>COUNTIF(年間一覧表!$Q$76:$W$81,LEFT(月別集計!U$73,1))</f>
        <v>0</v>
      </c>
      <c r="V76" s="30">
        <f t="shared" si="41"/>
        <v>0</v>
      </c>
      <c r="W76" s="32">
        <f t="shared" si="42"/>
        <v>0</v>
      </c>
      <c r="X76" s="22">
        <f>COUNTIF(年間一覧表!$Q$76:$W$81,LEFT(月別集計!X$73,1))</f>
        <v>0</v>
      </c>
      <c r="Y76" s="22">
        <f>COUNTIF(年間一覧表!$Q$76:$W$81,LEFT(月別集計!Y$73,1))</f>
        <v>0</v>
      </c>
      <c r="Z76" s="22">
        <f>COUNTIF(年間一覧表!$Q$76:$W$81,LEFT(月別集計!Z$73,1))</f>
        <v>0</v>
      </c>
      <c r="AA76" s="22">
        <f>COUNTIF(年間一覧表!$Q$76:$W$81,LEFT(月別集計!AA$73,1))</f>
        <v>0</v>
      </c>
      <c r="AB76" s="22">
        <f>COUNTIF(年間一覧表!$Q$76:$W$81,LEFT(月別集計!AB$73,1))</f>
        <v>0</v>
      </c>
      <c r="AC76" s="34">
        <f t="shared" si="43"/>
        <v>0</v>
      </c>
    </row>
    <row r="77" spans="1:29" x14ac:dyDescent="0.15">
      <c r="A77" s="57"/>
      <c r="B77" s="24" t="s">
        <v>37</v>
      </c>
      <c r="C77" s="22">
        <f>COUNTIF(年間一覧表!$X$76:$AD$81,LEFT(月別集計!C$73,1))</f>
        <v>0</v>
      </c>
      <c r="D77" s="22">
        <f>COUNTIF(年間一覧表!$X$76:$AD$81,LEFT(月別集計!D$73,1))</f>
        <v>0</v>
      </c>
      <c r="E77" s="22">
        <f>COUNTIF(年間一覧表!$X$76:$AD$81,LEFT(月別集計!E$73,1))</f>
        <v>0</v>
      </c>
      <c r="F77" s="22">
        <f>COUNTIF(年間一覧表!$X$76:$AD$81,LEFT(月別集計!F$73,1))</f>
        <v>0</v>
      </c>
      <c r="G77" s="22">
        <f>COUNTIF(年間一覧表!$X$76:$AD$81,LEFT(月別集計!G$73,1))</f>
        <v>0</v>
      </c>
      <c r="H77" s="22">
        <f>COUNTIF(年間一覧表!$X$76:$AD$81,LEFT(月別集計!H$73,1))</f>
        <v>0</v>
      </c>
      <c r="I77" s="22">
        <f>COUNTIF(年間一覧表!$X$76:$AD$81,LEFT(月別集計!I$73,1))</f>
        <v>0</v>
      </c>
      <c r="J77" s="22">
        <f>COUNTIF(年間一覧表!$X$76:$AD$81,LEFT(月別集計!J$73,1))</f>
        <v>0</v>
      </c>
      <c r="K77" s="22">
        <f>COUNTIF(年間一覧表!$X$76:$AD$81,LEFT(月別集計!K$73,1))</f>
        <v>0</v>
      </c>
      <c r="L77" s="22">
        <f>COUNTIF(年間一覧表!$X$76:$AD$81,LEFT(月別集計!L$73,1))</f>
        <v>0</v>
      </c>
      <c r="M77" s="22">
        <f>COUNTIF(年間一覧表!$X$76:$AD$81,LEFT(月別集計!M$73,1))</f>
        <v>0</v>
      </c>
      <c r="N77" s="22">
        <f>COUNTIF(年間一覧表!$X$76:$AD$81,LEFT(月別集計!N$73,1))</f>
        <v>0</v>
      </c>
      <c r="O77" s="22">
        <f>COUNTIF(年間一覧表!$X$76:$AD$81,LEFT(月別集計!O$73,1))</f>
        <v>0</v>
      </c>
      <c r="P77" s="28">
        <f t="shared" si="40"/>
        <v>0</v>
      </c>
      <c r="Q77" s="22">
        <f>COUNTIF(年間一覧表!$X$76:$AD$81,LEFT(月別集計!Q$73,1))</f>
        <v>0</v>
      </c>
      <c r="R77" s="22">
        <f>COUNTIF(年間一覧表!$X$76:$AD$81,RIGHT(月別集計!R$73,1))</f>
        <v>0</v>
      </c>
      <c r="S77" s="22">
        <f>COUNTIF(年間一覧表!$X$76:$AD$81,LEFT(月別集計!S$73,1))</f>
        <v>0</v>
      </c>
      <c r="T77" s="22">
        <f>COUNTIF(年間一覧表!$X$76:$AD$81,LEFT(月別集計!T$73,1))</f>
        <v>0</v>
      </c>
      <c r="U77" s="22">
        <f>COUNTIF(年間一覧表!$X$76:$AD$81,LEFT(月別集計!U$73,1))</f>
        <v>0</v>
      </c>
      <c r="V77" s="30">
        <f t="shared" si="41"/>
        <v>0</v>
      </c>
      <c r="W77" s="32">
        <f t="shared" si="42"/>
        <v>0</v>
      </c>
      <c r="X77" s="22">
        <f>COUNTIF(年間一覧表!$X$76:$AD$81,LEFT(月別集計!X$73,1))</f>
        <v>0</v>
      </c>
      <c r="Y77" s="22">
        <f>COUNTIF(年間一覧表!$X$76:$AD$81,LEFT(月別集計!Y$73,1))</f>
        <v>0</v>
      </c>
      <c r="Z77" s="22">
        <f>COUNTIF(年間一覧表!$X$76:$AD$81,LEFT(月別集計!Z$73,1))</f>
        <v>0</v>
      </c>
      <c r="AA77" s="22">
        <f>COUNTIF(年間一覧表!$X$76:$AD$81,LEFT(月別集計!AA$73,1))</f>
        <v>0</v>
      </c>
      <c r="AB77" s="22">
        <f>COUNTIF(年間一覧表!$X$76:$AD$81,LEFT(月別集計!AB$73,1))</f>
        <v>0</v>
      </c>
      <c r="AC77" s="34">
        <f t="shared" si="43"/>
        <v>0</v>
      </c>
    </row>
    <row r="78" spans="1:29" x14ac:dyDescent="0.15">
      <c r="A78" s="57"/>
      <c r="B78" s="24" t="s">
        <v>38</v>
      </c>
      <c r="C78" s="22">
        <f>COUNTIF(年間一覧表!$AE$76:$AK$81,LEFT(月別集計!C$73,1))</f>
        <v>0</v>
      </c>
      <c r="D78" s="22">
        <f>COUNTIF(年間一覧表!$AE$76:$AK$81,LEFT(月別集計!D$73,1))</f>
        <v>0</v>
      </c>
      <c r="E78" s="22">
        <f>COUNTIF(年間一覧表!$AE$76:$AK$81,LEFT(月別集計!E$73,1))</f>
        <v>0</v>
      </c>
      <c r="F78" s="22">
        <f>COUNTIF(年間一覧表!$AE$76:$AK$81,LEFT(月別集計!F$73,1))</f>
        <v>0</v>
      </c>
      <c r="G78" s="22">
        <f>COUNTIF(年間一覧表!$AE$76:$AK$81,LEFT(月別集計!G$73,1))</f>
        <v>0</v>
      </c>
      <c r="H78" s="22">
        <f>COUNTIF(年間一覧表!$AE$76:$AK$81,LEFT(月別集計!H$73,1))</f>
        <v>0</v>
      </c>
      <c r="I78" s="22">
        <f>COUNTIF(年間一覧表!$AE$76:$AK$81,LEFT(月別集計!I$73,1))</f>
        <v>0</v>
      </c>
      <c r="J78" s="22">
        <f>COUNTIF(年間一覧表!$AE$76:$AK$81,LEFT(月別集計!J$73,1))</f>
        <v>0</v>
      </c>
      <c r="K78" s="22">
        <f>COUNTIF(年間一覧表!$AE$76:$AK$81,LEFT(月別集計!K$73,1))</f>
        <v>0</v>
      </c>
      <c r="L78" s="22">
        <f>COUNTIF(年間一覧表!$AE$76:$AK$81,LEFT(月別集計!L$73,1))</f>
        <v>0</v>
      </c>
      <c r="M78" s="22">
        <f>COUNTIF(年間一覧表!$AE$76:$AK$81,LEFT(月別集計!M$73,1))</f>
        <v>0</v>
      </c>
      <c r="N78" s="22">
        <f>COUNTIF(年間一覧表!$AE$76:$AK$81,LEFT(月別集計!N$73,1))</f>
        <v>0</v>
      </c>
      <c r="O78" s="22">
        <f>COUNTIF(年間一覧表!$AE$76:$AK$81,LEFT(月別集計!O$73,1))</f>
        <v>0</v>
      </c>
      <c r="P78" s="28">
        <f t="shared" si="40"/>
        <v>0</v>
      </c>
      <c r="Q78" s="22">
        <f>COUNTIF(年間一覧表!$AE$76:$AK$81,LEFT(月別集計!Q$73,1))</f>
        <v>0</v>
      </c>
      <c r="R78" s="22">
        <f>COUNTIF(年間一覧表!$AE$76:$AK$81,RIGHT(月別集計!R$73,1))</f>
        <v>0</v>
      </c>
      <c r="S78" s="22">
        <f>COUNTIF(年間一覧表!$AE$76:$AK$81,LEFT(月別集計!S$73,1))</f>
        <v>0</v>
      </c>
      <c r="T78" s="22">
        <f>COUNTIF(年間一覧表!$AE$76:$AK$81,LEFT(月別集計!T$73,1))</f>
        <v>0</v>
      </c>
      <c r="U78" s="22">
        <f>COUNTIF(年間一覧表!$AE$76:$AK$81,LEFT(月別集計!U$73,1))</f>
        <v>0</v>
      </c>
      <c r="V78" s="30">
        <f t="shared" si="41"/>
        <v>0</v>
      </c>
      <c r="W78" s="32">
        <f t="shared" si="42"/>
        <v>0</v>
      </c>
      <c r="X78" s="22">
        <f>COUNTIF(年間一覧表!$AE$76:$AK$81,LEFT(月別集計!X$73,1))</f>
        <v>0</v>
      </c>
      <c r="Y78" s="22">
        <f>COUNTIF(年間一覧表!$AE$76:$AK$81,LEFT(月別集計!Y$73,1))</f>
        <v>0</v>
      </c>
      <c r="Z78" s="22">
        <f>COUNTIF(年間一覧表!$AE$76:$AK$81,LEFT(月別集計!Z$73,1))</f>
        <v>0</v>
      </c>
      <c r="AA78" s="22">
        <f>COUNTIF(年間一覧表!$AE$76:$AK$81,LEFT(月別集計!AA$73,1))</f>
        <v>0</v>
      </c>
      <c r="AB78" s="22">
        <f>COUNTIF(年間一覧表!$AE$76:$AK$81,LEFT(月別集計!AB$73,1))</f>
        <v>0</v>
      </c>
      <c r="AC78" s="34">
        <f t="shared" si="43"/>
        <v>0</v>
      </c>
    </row>
    <row r="79" spans="1:29" x14ac:dyDescent="0.15">
      <c r="A79" s="57"/>
      <c r="B79" s="24" t="s">
        <v>39</v>
      </c>
      <c r="C79" s="22">
        <f>COUNTIF(年間一覧表!$AL$76:$AL$81,LEFT(月別集計!C$73,1))</f>
        <v>0</v>
      </c>
      <c r="D79" s="22">
        <f>COUNTIF(年間一覧表!$AL$76:$AL$81,LEFT(月別集計!D$73,1))</f>
        <v>0</v>
      </c>
      <c r="E79" s="22">
        <f>COUNTIF(年間一覧表!$AL$76:$AL$81,LEFT(月別集計!E$73,1))</f>
        <v>0</v>
      </c>
      <c r="F79" s="22">
        <f>COUNTIF(年間一覧表!$AL$76:$AL$81,LEFT(月別集計!F$73,1))</f>
        <v>0</v>
      </c>
      <c r="G79" s="22">
        <f>COUNTIF(年間一覧表!$AL$76:$AL$81,LEFT(月別集計!G$73,1))</f>
        <v>0</v>
      </c>
      <c r="H79" s="22">
        <f>COUNTIF(年間一覧表!$AL$76:$AL$81,LEFT(月別集計!H$73,1))</f>
        <v>0</v>
      </c>
      <c r="I79" s="22">
        <f>COUNTIF(年間一覧表!$AL$76:$AL$81,LEFT(月別集計!I$73,1))</f>
        <v>0</v>
      </c>
      <c r="J79" s="22">
        <f>COUNTIF(年間一覧表!$AL$76:$AL$81,LEFT(月別集計!J$73,1))</f>
        <v>0</v>
      </c>
      <c r="K79" s="22">
        <f>COUNTIF(年間一覧表!$AL$76:$AL$81,LEFT(月別集計!K$73,1))</f>
        <v>0</v>
      </c>
      <c r="L79" s="22">
        <f>COUNTIF(年間一覧表!$AL$76:$AL$81,LEFT(月別集計!L$73,1))</f>
        <v>0</v>
      </c>
      <c r="M79" s="22">
        <f>COUNTIF(年間一覧表!$AL$76:$AL$81,LEFT(月別集計!M$73,1))</f>
        <v>0</v>
      </c>
      <c r="N79" s="22">
        <f>COUNTIF(年間一覧表!$AL$76:$AL$81,LEFT(月別集計!N$73,1))</f>
        <v>0</v>
      </c>
      <c r="O79" s="22">
        <f>COUNTIF(年間一覧表!$AL$76:$AL$81,LEFT(月別集計!O$73,1))</f>
        <v>0</v>
      </c>
      <c r="P79" s="28">
        <f t="shared" si="40"/>
        <v>0</v>
      </c>
      <c r="Q79" s="22">
        <f>COUNTIF(年間一覧表!$AL$76:$AL$81,LEFT(月別集計!Q$73,1))</f>
        <v>0</v>
      </c>
      <c r="R79" s="22">
        <f>COUNTIF(年間一覧表!$AL$76:$AL$81,RIGHT(月別集計!R$73,1))</f>
        <v>0</v>
      </c>
      <c r="S79" s="22">
        <f>COUNTIF(年間一覧表!$AL$76:$AL$81,LEFT(月別集計!S$73,1))</f>
        <v>0</v>
      </c>
      <c r="T79" s="22">
        <f>COUNTIF(年間一覧表!$AL$76:$AL$81,LEFT(月別集計!T$73,1))</f>
        <v>0</v>
      </c>
      <c r="U79" s="22">
        <f>COUNTIF(年間一覧表!$AL$76:$AL$81,LEFT(月別集計!U$73,1))</f>
        <v>0</v>
      </c>
      <c r="V79" s="30">
        <f t="shared" si="41"/>
        <v>0</v>
      </c>
      <c r="W79" s="32">
        <f t="shared" si="42"/>
        <v>0</v>
      </c>
      <c r="X79" s="22">
        <f>COUNTIF(年間一覧表!$AL$76:$AL$81,LEFT(月別集計!X$73,1))</f>
        <v>0</v>
      </c>
      <c r="Y79" s="22">
        <f>COUNTIF(年間一覧表!$AL$76:$AL$81,LEFT(月別集計!Y$73,1))</f>
        <v>0</v>
      </c>
      <c r="Z79" s="22">
        <f>COUNTIF(年間一覧表!$AL$76:$AL$81,LEFT(月別集計!Z$73,1))</f>
        <v>0</v>
      </c>
      <c r="AA79" s="22">
        <f>COUNTIF(年間一覧表!$AL$76:$AL$81,LEFT(月別集計!AA$73,1))</f>
        <v>0</v>
      </c>
      <c r="AB79" s="22">
        <f>COUNTIF(年間一覧表!$AL$76:$AL$81,LEFT(月別集計!AB$73,1))</f>
        <v>0</v>
      </c>
      <c r="AC79" s="34">
        <f t="shared" si="43"/>
        <v>0</v>
      </c>
    </row>
    <row r="80" spans="1:29" x14ac:dyDescent="0.15">
      <c r="A80" s="58"/>
      <c r="B80" s="24" t="s">
        <v>40</v>
      </c>
      <c r="C80" s="26">
        <f>SUM(C74:C79)</f>
        <v>0</v>
      </c>
      <c r="D80" s="26">
        <f t="shared" ref="D80:AC80" si="44">SUM(D74:D79)</f>
        <v>0</v>
      </c>
      <c r="E80" s="26">
        <f t="shared" si="44"/>
        <v>0</v>
      </c>
      <c r="F80" s="26">
        <f t="shared" si="44"/>
        <v>0</v>
      </c>
      <c r="G80" s="26">
        <f t="shared" si="44"/>
        <v>0</v>
      </c>
      <c r="H80" s="26">
        <f t="shared" si="44"/>
        <v>0</v>
      </c>
      <c r="I80" s="26">
        <f t="shared" si="44"/>
        <v>0</v>
      </c>
      <c r="J80" s="26">
        <f t="shared" si="44"/>
        <v>0</v>
      </c>
      <c r="K80" s="26">
        <f t="shared" si="44"/>
        <v>0</v>
      </c>
      <c r="L80" s="26">
        <f t="shared" si="44"/>
        <v>0</v>
      </c>
      <c r="M80" s="26">
        <f t="shared" si="44"/>
        <v>0</v>
      </c>
      <c r="N80" s="26">
        <f t="shared" si="44"/>
        <v>0</v>
      </c>
      <c r="O80" s="26">
        <f t="shared" si="44"/>
        <v>0</v>
      </c>
      <c r="P80" s="28">
        <f t="shared" si="44"/>
        <v>0</v>
      </c>
      <c r="Q80" s="26">
        <f t="shared" si="44"/>
        <v>0</v>
      </c>
      <c r="R80" s="26">
        <f t="shared" si="44"/>
        <v>0</v>
      </c>
      <c r="S80" s="26">
        <f t="shared" si="44"/>
        <v>0</v>
      </c>
      <c r="T80" s="26">
        <f t="shared" si="44"/>
        <v>0</v>
      </c>
      <c r="U80" s="26">
        <f t="shared" si="44"/>
        <v>0</v>
      </c>
      <c r="V80" s="30">
        <f t="shared" si="44"/>
        <v>0</v>
      </c>
      <c r="W80" s="32">
        <f t="shared" si="44"/>
        <v>0</v>
      </c>
      <c r="X80" s="26">
        <f t="shared" si="44"/>
        <v>0</v>
      </c>
      <c r="Y80" s="26">
        <f t="shared" si="44"/>
        <v>0</v>
      </c>
      <c r="Z80" s="26">
        <f t="shared" si="44"/>
        <v>0</v>
      </c>
      <c r="AA80" s="26">
        <f t="shared" si="44"/>
        <v>0</v>
      </c>
      <c r="AB80" s="26">
        <f t="shared" ref="AB80" si="45">SUM(AB74:AB79)</f>
        <v>0</v>
      </c>
      <c r="AC80" s="34">
        <f t="shared" si="44"/>
        <v>0</v>
      </c>
    </row>
    <row r="82" spans="1:29" x14ac:dyDescent="0.15">
      <c r="A82" s="56" t="s">
        <v>75</v>
      </c>
      <c r="B82" s="24"/>
      <c r="C82" s="59" t="s">
        <v>41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1"/>
      <c r="Q82" s="62" t="s">
        <v>51</v>
      </c>
      <c r="R82" s="62"/>
      <c r="S82" s="62"/>
      <c r="T82" s="62"/>
      <c r="U82" s="62"/>
      <c r="V82" s="62"/>
      <c r="W82" s="31"/>
      <c r="X82" s="53" t="s">
        <v>53</v>
      </c>
      <c r="Y82" s="54"/>
      <c r="Z82" s="54"/>
      <c r="AA82" s="54"/>
      <c r="AB82" s="55"/>
      <c r="AC82" s="34"/>
    </row>
    <row r="83" spans="1:29" x14ac:dyDescent="0.15">
      <c r="A83" s="57"/>
      <c r="B83" s="24"/>
      <c r="C83" s="24" t="s">
        <v>8</v>
      </c>
      <c r="D83" s="24" t="s">
        <v>10</v>
      </c>
      <c r="E83" s="24" t="s">
        <v>11</v>
      </c>
      <c r="F83" s="24" t="s">
        <v>12</v>
      </c>
      <c r="G83" s="24" t="s">
        <v>13</v>
      </c>
      <c r="H83" s="24" t="s">
        <v>14</v>
      </c>
      <c r="I83" s="24" t="s">
        <v>15</v>
      </c>
      <c r="J83" s="24" t="s">
        <v>17</v>
      </c>
      <c r="K83" s="24" t="s">
        <v>16</v>
      </c>
      <c r="L83" s="24" t="s">
        <v>19</v>
      </c>
      <c r="M83" s="24" t="s">
        <v>20</v>
      </c>
      <c r="N83" s="24" t="s">
        <v>18</v>
      </c>
      <c r="O83" s="24" t="s">
        <v>34</v>
      </c>
      <c r="P83" s="27" t="s">
        <v>40</v>
      </c>
      <c r="Q83" s="24" t="s">
        <v>42</v>
      </c>
      <c r="R83" s="24" t="s">
        <v>43</v>
      </c>
      <c r="S83" s="24" t="s">
        <v>44</v>
      </c>
      <c r="T83" s="24" t="s">
        <v>45</v>
      </c>
      <c r="U83" s="24" t="s">
        <v>46</v>
      </c>
      <c r="V83" s="29" t="s">
        <v>52</v>
      </c>
      <c r="W83" s="31" t="s">
        <v>73</v>
      </c>
      <c r="X83" s="24" t="s">
        <v>21</v>
      </c>
      <c r="Y83" s="24" t="s">
        <v>69</v>
      </c>
      <c r="Z83" s="24" t="s">
        <v>70</v>
      </c>
      <c r="AA83" s="24" t="s">
        <v>53</v>
      </c>
      <c r="AB83" s="50" t="s">
        <v>109</v>
      </c>
      <c r="AC83" s="33" t="s">
        <v>50</v>
      </c>
    </row>
    <row r="84" spans="1:29" x14ac:dyDescent="0.15">
      <c r="A84" s="57"/>
      <c r="B84" s="24" t="s">
        <v>33</v>
      </c>
      <c r="C84" s="22">
        <f>COUNTIF(年間一覧表!$C$86:$I$91,LEFT(月別集計!C$83,1))</f>
        <v>0</v>
      </c>
      <c r="D84" s="22">
        <f>COUNTIF(年間一覧表!$C$86:$I$91,LEFT(月別集計!D$83,1))</f>
        <v>0</v>
      </c>
      <c r="E84" s="22">
        <f>COUNTIF(年間一覧表!$C$86:$I$91,LEFT(月別集計!E$83,1))</f>
        <v>0</v>
      </c>
      <c r="F84" s="22">
        <f>COUNTIF(年間一覧表!$C$86:$I$91,LEFT(月別集計!F$83,1))</f>
        <v>0</v>
      </c>
      <c r="G84" s="22">
        <f>COUNTIF(年間一覧表!$C$86:$I$91,LEFT(月別集計!G$83,1))</f>
        <v>0</v>
      </c>
      <c r="H84" s="22">
        <f>COUNTIF(年間一覧表!$C$86:$I$91,LEFT(月別集計!H$83,1))</f>
        <v>0</v>
      </c>
      <c r="I84" s="22">
        <f>COUNTIF(年間一覧表!$C$86:$I$91,LEFT(月別集計!I$83,1))</f>
        <v>0</v>
      </c>
      <c r="J84" s="22">
        <f>COUNTIF(年間一覧表!$C$86:$I$91,LEFT(月別集計!J$83,1))</f>
        <v>0</v>
      </c>
      <c r="K84" s="22">
        <f>COUNTIF(年間一覧表!$C$86:$I$91,LEFT(月別集計!K$83,1))</f>
        <v>0</v>
      </c>
      <c r="L84" s="22">
        <f>COUNTIF(年間一覧表!$C$86:$I$91,LEFT(月別集計!L$83,1))</f>
        <v>0</v>
      </c>
      <c r="M84" s="22">
        <f>COUNTIF(年間一覧表!$C$86:$I$91,LEFT(月別集計!M$83,1))</f>
        <v>0</v>
      </c>
      <c r="N84" s="22">
        <f>COUNTIF(年間一覧表!$C$86:$I$91,LEFT(月別集計!N$83,1))</f>
        <v>0</v>
      </c>
      <c r="O84" s="22">
        <f>COUNTIF(年間一覧表!$C$86:$I$91,LEFT(月別集計!O$83,1))</f>
        <v>0</v>
      </c>
      <c r="P84" s="28">
        <f>SUM(C84:O84)</f>
        <v>0</v>
      </c>
      <c r="Q84" s="22">
        <f>COUNTIF(年間一覧表!$C$86:$I$91,LEFT(月別集計!Q$83,1))</f>
        <v>0</v>
      </c>
      <c r="R84" s="22">
        <f>COUNTIF(年間一覧表!$C$86:$I$91,RIGHT(月別集計!R$83,1))</f>
        <v>0</v>
      </c>
      <c r="S84" s="22">
        <f>COUNTIF(年間一覧表!$C$86:$I$91,LEFT(月別集計!S$83,1))</f>
        <v>0</v>
      </c>
      <c r="T84" s="22">
        <f>COUNTIF(年間一覧表!$C$86:$I$91,LEFT(月別集計!T$83,1))</f>
        <v>0</v>
      </c>
      <c r="U84" s="22">
        <f>COUNTIF(年間一覧表!$C$86:$I$91,LEFT(月別集計!U$83,1))</f>
        <v>0</v>
      </c>
      <c r="V84" s="30">
        <f>SUM(Q84:U84)</f>
        <v>0</v>
      </c>
      <c r="W84" s="32">
        <f>P84+V84</f>
        <v>0</v>
      </c>
      <c r="X84" s="22">
        <f>COUNTIF(年間一覧表!$C$86:$I$91,LEFT(月別集計!X$83,1))</f>
        <v>0</v>
      </c>
      <c r="Y84" s="22">
        <f>COUNTIF(年間一覧表!$C$86:$I$91,LEFT(月別集計!Y$83,1))</f>
        <v>0</v>
      </c>
      <c r="Z84" s="22">
        <f>COUNTIF(年間一覧表!$C$86:$I$91,LEFT(月別集計!Z$83,1))</f>
        <v>0</v>
      </c>
      <c r="AA84" s="22">
        <f>COUNTIF(年間一覧表!$C$86:$I$91,LEFT(月別集計!AA$83,1))</f>
        <v>0</v>
      </c>
      <c r="AB84" s="22">
        <f>COUNTIF(年間一覧表!$C$86:$I$91,LEFT(月別集計!AB$83,1))</f>
        <v>0</v>
      </c>
      <c r="AC84" s="34">
        <f>SUM(W84:AB84)</f>
        <v>0</v>
      </c>
    </row>
    <row r="85" spans="1:29" x14ac:dyDescent="0.15">
      <c r="A85" s="57"/>
      <c r="B85" s="24" t="s">
        <v>35</v>
      </c>
      <c r="C85" s="22">
        <f>COUNTIF(年間一覧表!$J$86:$P$91,LEFT(月別集計!C$83,1))</f>
        <v>0</v>
      </c>
      <c r="D85" s="22">
        <f>COUNTIF(年間一覧表!$J$86:$P$91,LEFT(月別集計!D$83,1))</f>
        <v>0</v>
      </c>
      <c r="E85" s="22">
        <f>COUNTIF(年間一覧表!$J$86:$P$91,LEFT(月別集計!E$83,1))</f>
        <v>0</v>
      </c>
      <c r="F85" s="22">
        <f>COUNTIF(年間一覧表!$J$86:$P$91,LEFT(月別集計!F$83,1))</f>
        <v>0</v>
      </c>
      <c r="G85" s="22">
        <f>COUNTIF(年間一覧表!$J$86:$P$91,LEFT(月別集計!G$83,1))</f>
        <v>0</v>
      </c>
      <c r="H85" s="22">
        <f>COUNTIF(年間一覧表!$J$86:$P$91,LEFT(月別集計!H$83,1))</f>
        <v>0</v>
      </c>
      <c r="I85" s="22">
        <f>COUNTIF(年間一覧表!$J$86:$P$91,LEFT(月別集計!I$83,1))</f>
        <v>0</v>
      </c>
      <c r="J85" s="22">
        <f>COUNTIF(年間一覧表!$J$86:$P$91,LEFT(月別集計!J$83,1))</f>
        <v>0</v>
      </c>
      <c r="K85" s="22">
        <f>COUNTIF(年間一覧表!$J$86:$P$91,LEFT(月別集計!K$83,1))</f>
        <v>0</v>
      </c>
      <c r="L85" s="22">
        <f>COUNTIF(年間一覧表!$J$86:$P$91,LEFT(月別集計!L$83,1))</f>
        <v>0</v>
      </c>
      <c r="M85" s="22">
        <f>COUNTIF(年間一覧表!$J$86:$P$91,LEFT(月別集計!M$83,1))</f>
        <v>0</v>
      </c>
      <c r="N85" s="22">
        <f>COUNTIF(年間一覧表!$J$86:$P$91,LEFT(月別集計!N$83,1))</f>
        <v>0</v>
      </c>
      <c r="O85" s="22">
        <f>COUNTIF(年間一覧表!$J$86:$P$91,LEFT(月別集計!O$83,1))</f>
        <v>0</v>
      </c>
      <c r="P85" s="28">
        <f t="shared" ref="P85:P89" si="46">SUM(C85:O85)</f>
        <v>0</v>
      </c>
      <c r="Q85" s="22">
        <f>COUNTIF(年間一覧表!$J$86:$P$91,LEFT(月別集計!Q$83,1))</f>
        <v>0</v>
      </c>
      <c r="R85" s="22">
        <f>COUNTIF(年間一覧表!$J$86:$P$91,RIGHT(月別集計!R$83,1))</f>
        <v>0</v>
      </c>
      <c r="S85" s="22">
        <f>COUNTIF(年間一覧表!$J$86:$P$91,LEFT(月別集計!S$83,1))</f>
        <v>0</v>
      </c>
      <c r="T85" s="22">
        <f>COUNTIF(年間一覧表!$J$86:$P$91,LEFT(月別集計!T$83,1))</f>
        <v>0</v>
      </c>
      <c r="U85" s="22">
        <f>COUNTIF(年間一覧表!$J$86:$P$91,LEFT(月別集計!U$83,1))</f>
        <v>0</v>
      </c>
      <c r="V85" s="30">
        <f t="shared" ref="V85:V89" si="47">SUM(Q85:U85)</f>
        <v>0</v>
      </c>
      <c r="W85" s="32">
        <f t="shared" ref="W85:W89" si="48">P85+V85</f>
        <v>0</v>
      </c>
      <c r="X85" s="22">
        <f>COUNTIF(年間一覧表!$J$86:$P$91,LEFT(月別集計!X$83,1))</f>
        <v>0</v>
      </c>
      <c r="Y85" s="22">
        <f>COUNTIF(年間一覧表!$J$86:$P$91,LEFT(月別集計!Y$83,1))</f>
        <v>0</v>
      </c>
      <c r="Z85" s="22">
        <f>COUNTIF(年間一覧表!$J$86:$P$91,LEFT(月別集計!Z$83,1))</f>
        <v>0</v>
      </c>
      <c r="AA85" s="22">
        <f>COUNTIF(年間一覧表!$J$86:$P$91,LEFT(月別集計!AA$83,1))</f>
        <v>0</v>
      </c>
      <c r="AB85" s="22">
        <f>COUNTIF(年間一覧表!$J$86:$P$91,LEFT(月別集計!AB$83,1))</f>
        <v>0</v>
      </c>
      <c r="AC85" s="34">
        <f t="shared" ref="AC85:AC89" si="49">SUM(W85:AB85)</f>
        <v>0</v>
      </c>
    </row>
    <row r="86" spans="1:29" x14ac:dyDescent="0.15">
      <c r="A86" s="57"/>
      <c r="B86" s="24" t="s">
        <v>36</v>
      </c>
      <c r="C86" s="22">
        <f>COUNTIF(年間一覧表!$Q$86:$W$91,LEFT(月別集計!C$83,1))</f>
        <v>0</v>
      </c>
      <c r="D86" s="22">
        <f>COUNTIF(年間一覧表!$Q$86:$W$91,LEFT(月別集計!D$83,1))</f>
        <v>0</v>
      </c>
      <c r="E86" s="22">
        <f>COUNTIF(年間一覧表!$Q$86:$W$91,LEFT(月別集計!E$83,1))</f>
        <v>0</v>
      </c>
      <c r="F86" s="22">
        <f>COUNTIF(年間一覧表!$Q$86:$W$91,LEFT(月別集計!F$83,1))</f>
        <v>0</v>
      </c>
      <c r="G86" s="22">
        <f>COUNTIF(年間一覧表!$Q$86:$W$91,LEFT(月別集計!G$83,1))</f>
        <v>0</v>
      </c>
      <c r="H86" s="22">
        <f>COUNTIF(年間一覧表!$Q$86:$W$91,LEFT(月別集計!H$83,1))</f>
        <v>0</v>
      </c>
      <c r="I86" s="22">
        <f>COUNTIF(年間一覧表!$Q$86:$W$91,LEFT(月別集計!I$83,1))</f>
        <v>0</v>
      </c>
      <c r="J86" s="22">
        <f>COUNTIF(年間一覧表!$Q$86:$W$91,LEFT(月別集計!J$83,1))</f>
        <v>0</v>
      </c>
      <c r="K86" s="22">
        <f>COUNTIF(年間一覧表!$Q$86:$W$91,LEFT(月別集計!K$83,1))</f>
        <v>0</v>
      </c>
      <c r="L86" s="22">
        <f>COUNTIF(年間一覧表!$Q$86:$W$91,LEFT(月別集計!L$83,1))</f>
        <v>0</v>
      </c>
      <c r="M86" s="22">
        <f>COUNTIF(年間一覧表!$Q$86:$W$91,LEFT(月別集計!M$83,1))</f>
        <v>0</v>
      </c>
      <c r="N86" s="22">
        <f>COUNTIF(年間一覧表!$Q$86:$W$91,LEFT(月別集計!N$83,1))</f>
        <v>0</v>
      </c>
      <c r="O86" s="22">
        <f>COUNTIF(年間一覧表!$Q$86:$W$91,LEFT(月別集計!O$83,1))</f>
        <v>0</v>
      </c>
      <c r="P86" s="28">
        <f t="shared" si="46"/>
        <v>0</v>
      </c>
      <c r="Q86" s="22">
        <f>COUNTIF(年間一覧表!$Q$86:$W$91,LEFT(月別集計!Q$83,1))</f>
        <v>0</v>
      </c>
      <c r="R86" s="22">
        <f>COUNTIF(年間一覧表!$Q$86:$W$91,RIGHT(月別集計!R$83,1))</f>
        <v>0</v>
      </c>
      <c r="S86" s="22">
        <f>COUNTIF(年間一覧表!$Q$86:$W$91,LEFT(月別集計!S$83,1))</f>
        <v>0</v>
      </c>
      <c r="T86" s="22">
        <f>COUNTIF(年間一覧表!$Q$86:$W$91,LEFT(月別集計!T$83,1))</f>
        <v>0</v>
      </c>
      <c r="U86" s="22">
        <f>COUNTIF(年間一覧表!$Q$86:$W$91,LEFT(月別集計!U$83,1))</f>
        <v>0</v>
      </c>
      <c r="V86" s="30">
        <f t="shared" si="47"/>
        <v>0</v>
      </c>
      <c r="W86" s="32">
        <f t="shared" si="48"/>
        <v>0</v>
      </c>
      <c r="X86" s="22">
        <f>COUNTIF(年間一覧表!$Q$86:$W$91,LEFT(月別集計!X$83,1))</f>
        <v>0</v>
      </c>
      <c r="Y86" s="22">
        <f>COUNTIF(年間一覧表!$Q$86:$W$91,LEFT(月別集計!Y$83,1))</f>
        <v>0</v>
      </c>
      <c r="Z86" s="22">
        <f>COUNTIF(年間一覧表!$Q$86:$W$91,LEFT(月別集計!Z$83,1))</f>
        <v>0</v>
      </c>
      <c r="AA86" s="22">
        <f>COUNTIF(年間一覧表!$Q$86:$W$91,LEFT(月別集計!AA$83,1))</f>
        <v>0</v>
      </c>
      <c r="AB86" s="22">
        <f>COUNTIF(年間一覧表!$Q$86:$W$91,LEFT(月別集計!AB$83,1))</f>
        <v>0</v>
      </c>
      <c r="AC86" s="34">
        <f t="shared" si="49"/>
        <v>0</v>
      </c>
    </row>
    <row r="87" spans="1:29" x14ac:dyDescent="0.15">
      <c r="A87" s="57"/>
      <c r="B87" s="24" t="s">
        <v>37</v>
      </c>
      <c r="C87" s="22">
        <f>COUNTIF(年間一覧表!$X$86:$AD$91,LEFT(月別集計!C$83,1))</f>
        <v>0</v>
      </c>
      <c r="D87" s="22">
        <f>COUNTIF(年間一覧表!$X$86:$AD$91,LEFT(月別集計!D$83,1))</f>
        <v>0</v>
      </c>
      <c r="E87" s="22">
        <f>COUNTIF(年間一覧表!$X$86:$AD$91,LEFT(月別集計!E$83,1))</f>
        <v>0</v>
      </c>
      <c r="F87" s="22">
        <f>COUNTIF(年間一覧表!$X$86:$AD$91,LEFT(月別集計!F$83,1))</f>
        <v>0</v>
      </c>
      <c r="G87" s="22">
        <f>COUNTIF(年間一覧表!$X$86:$AD$91,LEFT(月別集計!G$83,1))</f>
        <v>0</v>
      </c>
      <c r="H87" s="22">
        <f>COUNTIF(年間一覧表!$X$86:$AD$91,LEFT(月別集計!H$83,1))</f>
        <v>0</v>
      </c>
      <c r="I87" s="22">
        <f>COUNTIF(年間一覧表!$X$86:$AD$91,LEFT(月別集計!I$83,1))</f>
        <v>0</v>
      </c>
      <c r="J87" s="22">
        <f>COUNTIF(年間一覧表!$X$86:$AD$91,LEFT(月別集計!J$83,1))</f>
        <v>0</v>
      </c>
      <c r="K87" s="22">
        <f>COUNTIF(年間一覧表!$X$86:$AD$91,LEFT(月別集計!K$83,1))</f>
        <v>0</v>
      </c>
      <c r="L87" s="22">
        <f>COUNTIF(年間一覧表!$X$86:$AD$91,LEFT(月別集計!L$83,1))</f>
        <v>0</v>
      </c>
      <c r="M87" s="22">
        <f>COUNTIF(年間一覧表!$X$86:$AD$91,LEFT(月別集計!M$83,1))</f>
        <v>0</v>
      </c>
      <c r="N87" s="22">
        <f>COUNTIF(年間一覧表!$X$86:$AD$91,LEFT(月別集計!N$83,1))</f>
        <v>0</v>
      </c>
      <c r="O87" s="22">
        <f>COUNTIF(年間一覧表!$X$86:$AD$91,LEFT(月別集計!O$83,1))</f>
        <v>0</v>
      </c>
      <c r="P87" s="28">
        <f t="shared" si="46"/>
        <v>0</v>
      </c>
      <c r="Q87" s="22">
        <f>COUNTIF(年間一覧表!$X$86:$AD$91,LEFT(月別集計!Q$83,1))</f>
        <v>0</v>
      </c>
      <c r="R87" s="22">
        <f>COUNTIF(年間一覧表!$X$86:$AD$91,RIGHT(月別集計!R$83,1))</f>
        <v>0</v>
      </c>
      <c r="S87" s="22">
        <f>COUNTIF(年間一覧表!$X$86:$AD$91,LEFT(月別集計!S$83,1))</f>
        <v>0</v>
      </c>
      <c r="T87" s="22">
        <f>COUNTIF(年間一覧表!$X$86:$AD$91,LEFT(月別集計!T$83,1))</f>
        <v>0</v>
      </c>
      <c r="U87" s="22">
        <f>COUNTIF(年間一覧表!$X$86:$AD$91,LEFT(月別集計!U$83,1))</f>
        <v>0</v>
      </c>
      <c r="V87" s="30">
        <f t="shared" si="47"/>
        <v>0</v>
      </c>
      <c r="W87" s="32">
        <f t="shared" si="48"/>
        <v>0</v>
      </c>
      <c r="X87" s="22">
        <f>COUNTIF(年間一覧表!$X$86:$AD$91,LEFT(月別集計!X$83,1))</f>
        <v>0</v>
      </c>
      <c r="Y87" s="22">
        <f>COUNTIF(年間一覧表!$X$86:$AD$91,LEFT(月別集計!Y$83,1))</f>
        <v>0</v>
      </c>
      <c r="Z87" s="22">
        <f>COUNTIF(年間一覧表!$X$86:$AD$91,LEFT(月別集計!Z$83,1))</f>
        <v>0</v>
      </c>
      <c r="AA87" s="22">
        <f>COUNTIF(年間一覧表!$X$86:$AD$91,LEFT(月別集計!AA$83,1))</f>
        <v>0</v>
      </c>
      <c r="AB87" s="22">
        <f>COUNTIF(年間一覧表!$X$86:$AD$91,LEFT(月別集計!AB$83,1))</f>
        <v>0</v>
      </c>
      <c r="AC87" s="34">
        <f t="shared" si="49"/>
        <v>0</v>
      </c>
    </row>
    <row r="88" spans="1:29" x14ac:dyDescent="0.15">
      <c r="A88" s="57"/>
      <c r="B88" s="24" t="s">
        <v>38</v>
      </c>
      <c r="C88" s="22">
        <f>COUNTIF(年間一覧表!$AE$86:$AK$91,LEFT(月別集計!C$83,1))</f>
        <v>0</v>
      </c>
      <c r="D88" s="22">
        <f>COUNTIF(年間一覧表!$AE$86:$AK$91,LEFT(月別集計!D$83,1))</f>
        <v>0</v>
      </c>
      <c r="E88" s="22">
        <f>COUNTIF(年間一覧表!$AE$86:$AK$91,LEFT(月別集計!E$83,1))</f>
        <v>0</v>
      </c>
      <c r="F88" s="22">
        <f>COUNTIF(年間一覧表!$AE$86:$AK$91,LEFT(月別集計!F$83,1))</f>
        <v>0</v>
      </c>
      <c r="G88" s="22">
        <f>COUNTIF(年間一覧表!$AE$86:$AK$91,LEFT(月別集計!G$83,1))</f>
        <v>0</v>
      </c>
      <c r="H88" s="22">
        <f>COUNTIF(年間一覧表!$AE$86:$AK$91,LEFT(月別集計!H$83,1))</f>
        <v>0</v>
      </c>
      <c r="I88" s="22">
        <f>COUNTIF(年間一覧表!$AE$86:$AK$91,LEFT(月別集計!I$83,1))</f>
        <v>0</v>
      </c>
      <c r="J88" s="22">
        <f>COUNTIF(年間一覧表!$AE$86:$AK$91,LEFT(月別集計!J$83,1))</f>
        <v>0</v>
      </c>
      <c r="K88" s="22">
        <f>COUNTIF(年間一覧表!$AE$86:$AK$91,LEFT(月別集計!K$83,1))</f>
        <v>0</v>
      </c>
      <c r="L88" s="22">
        <f>COUNTIF(年間一覧表!$AE$86:$AK$91,LEFT(月別集計!L$83,1))</f>
        <v>0</v>
      </c>
      <c r="M88" s="22">
        <f>COUNTIF(年間一覧表!$AE$86:$AK$91,LEFT(月別集計!M$83,1))</f>
        <v>0</v>
      </c>
      <c r="N88" s="22">
        <f>COUNTIF(年間一覧表!$AE$86:$AK$91,LEFT(月別集計!N$83,1))</f>
        <v>0</v>
      </c>
      <c r="O88" s="22">
        <f>COUNTIF(年間一覧表!$AE$86:$AK$91,LEFT(月別集計!O$83,1))</f>
        <v>0</v>
      </c>
      <c r="P88" s="28">
        <f t="shared" si="46"/>
        <v>0</v>
      </c>
      <c r="Q88" s="22">
        <f>COUNTIF(年間一覧表!$AE$86:$AK$91,LEFT(月別集計!Q$83,1))</f>
        <v>0</v>
      </c>
      <c r="R88" s="22">
        <f>COUNTIF(年間一覧表!$AE$86:$AK$91,RIGHT(月別集計!R$83,1))</f>
        <v>0</v>
      </c>
      <c r="S88" s="22">
        <f>COUNTIF(年間一覧表!$AE$86:$AK$91,LEFT(月別集計!S$83,1))</f>
        <v>0</v>
      </c>
      <c r="T88" s="22">
        <f>COUNTIF(年間一覧表!$AE$86:$AK$91,LEFT(月別集計!T$83,1))</f>
        <v>0</v>
      </c>
      <c r="U88" s="22">
        <f>COUNTIF(年間一覧表!$AE$86:$AK$91,LEFT(月別集計!U$83,1))</f>
        <v>0</v>
      </c>
      <c r="V88" s="30">
        <f t="shared" si="47"/>
        <v>0</v>
      </c>
      <c r="W88" s="32">
        <f t="shared" si="48"/>
        <v>0</v>
      </c>
      <c r="X88" s="22">
        <f>COUNTIF(年間一覧表!$AE$86:$AK$91,LEFT(月別集計!X$83,1))</f>
        <v>0</v>
      </c>
      <c r="Y88" s="22">
        <f>COUNTIF(年間一覧表!$AE$86:$AK$91,LEFT(月別集計!Y$83,1))</f>
        <v>0</v>
      </c>
      <c r="Z88" s="22">
        <f>COUNTIF(年間一覧表!$AE$86:$AK$91,LEFT(月別集計!Z$83,1))</f>
        <v>0</v>
      </c>
      <c r="AA88" s="22">
        <f>COUNTIF(年間一覧表!$AE$86:$AK$91,LEFT(月別集計!AA$83,1))</f>
        <v>0</v>
      </c>
      <c r="AB88" s="22">
        <f>COUNTIF(年間一覧表!$AE$86:$AK$91,LEFT(月別集計!AB$83,1))</f>
        <v>0</v>
      </c>
      <c r="AC88" s="34">
        <f t="shared" si="49"/>
        <v>0</v>
      </c>
    </row>
    <row r="89" spans="1:29" x14ac:dyDescent="0.15">
      <c r="A89" s="57"/>
      <c r="B89" s="24" t="s">
        <v>39</v>
      </c>
      <c r="C89" s="22">
        <f>COUNTIF(年間一覧表!$AL$86:$AM$91,LEFT(月別集計!C$83,1))</f>
        <v>0</v>
      </c>
      <c r="D89" s="22">
        <f>COUNTIF(年間一覧表!$AL$86:$AM$91,LEFT(月別集計!D$83,1))</f>
        <v>0</v>
      </c>
      <c r="E89" s="22">
        <f>COUNTIF(年間一覧表!$AL$86:$AM$91,LEFT(月別集計!E$83,1))</f>
        <v>0</v>
      </c>
      <c r="F89" s="22">
        <f>COUNTIF(年間一覧表!$AL$86:$AM$91,LEFT(月別集計!F$83,1))</f>
        <v>0</v>
      </c>
      <c r="G89" s="22">
        <f>COUNTIF(年間一覧表!$AL$86:$AM$91,LEFT(月別集計!G$83,1))</f>
        <v>0</v>
      </c>
      <c r="H89" s="22">
        <f>COUNTIF(年間一覧表!$AL$86:$AM$91,LEFT(月別集計!H$83,1))</f>
        <v>0</v>
      </c>
      <c r="I89" s="22">
        <f>COUNTIF(年間一覧表!$AL$86:$AM$91,LEFT(月別集計!I$83,1))</f>
        <v>0</v>
      </c>
      <c r="J89" s="22">
        <f>COUNTIF(年間一覧表!$AL$86:$AM$91,LEFT(月別集計!J$83,1))</f>
        <v>0</v>
      </c>
      <c r="K89" s="22">
        <f>COUNTIF(年間一覧表!$AL$86:$AM$91,LEFT(月別集計!K$83,1))</f>
        <v>0</v>
      </c>
      <c r="L89" s="22">
        <f>COUNTIF(年間一覧表!$AL$86:$AM$91,LEFT(月別集計!L$83,1))</f>
        <v>0</v>
      </c>
      <c r="M89" s="22">
        <f>COUNTIF(年間一覧表!$AL$86:$AM$91,LEFT(月別集計!M$83,1))</f>
        <v>0</v>
      </c>
      <c r="N89" s="22">
        <f>COUNTIF(年間一覧表!$AL$86:$AM$91,LEFT(月別集計!N$83,1))</f>
        <v>0</v>
      </c>
      <c r="O89" s="22">
        <f>COUNTIF(年間一覧表!$AL$86:$AM$91,LEFT(月別集計!O$83,1))</f>
        <v>0</v>
      </c>
      <c r="P89" s="28">
        <f t="shared" si="46"/>
        <v>0</v>
      </c>
      <c r="Q89" s="22">
        <f>COUNTIF(年間一覧表!$AL$86:$AM$91,LEFT(月別集計!Q$83,1))</f>
        <v>0</v>
      </c>
      <c r="R89" s="22">
        <f>COUNTIF(年間一覧表!$AL$86:$AM$91,RIGHT(月別集計!R$83,1))</f>
        <v>0</v>
      </c>
      <c r="S89" s="22">
        <f>COUNTIF(年間一覧表!$AL$86:$AM$91,LEFT(月別集計!S$83,1))</f>
        <v>0</v>
      </c>
      <c r="T89" s="22">
        <f>COUNTIF(年間一覧表!$AL$86:$AM$91,LEFT(月別集計!T$83,1))</f>
        <v>0</v>
      </c>
      <c r="U89" s="22">
        <f>COUNTIF(年間一覧表!$AL$86:$AM$91,LEFT(月別集計!U$83,1))</f>
        <v>0</v>
      </c>
      <c r="V89" s="30">
        <f t="shared" si="47"/>
        <v>0</v>
      </c>
      <c r="W89" s="32">
        <f t="shared" si="48"/>
        <v>0</v>
      </c>
      <c r="X89" s="22">
        <f>COUNTIF(年間一覧表!$AL$86:$AM$91,LEFT(月別集計!X$83,1))</f>
        <v>0</v>
      </c>
      <c r="Y89" s="22">
        <f>COUNTIF(年間一覧表!$AL$86:$AM$91,LEFT(月別集計!Y$83,1))</f>
        <v>0</v>
      </c>
      <c r="Z89" s="22">
        <f>COUNTIF(年間一覧表!$AL$86:$AM$91,LEFT(月別集計!Z$83,1))</f>
        <v>0</v>
      </c>
      <c r="AA89" s="22">
        <f>COUNTIF(年間一覧表!$AL$86:$AM$91,LEFT(月別集計!AA$83,1))</f>
        <v>0</v>
      </c>
      <c r="AB89" s="22">
        <f>COUNTIF(年間一覧表!$AL$86:$AM$91,LEFT(月別集計!AB$83,1))</f>
        <v>0</v>
      </c>
      <c r="AC89" s="34">
        <f t="shared" si="49"/>
        <v>0</v>
      </c>
    </row>
    <row r="90" spans="1:29" x14ac:dyDescent="0.15">
      <c r="A90" s="58"/>
      <c r="B90" s="24" t="s">
        <v>40</v>
      </c>
      <c r="C90" s="26">
        <f>SUM(C84:C89)</f>
        <v>0</v>
      </c>
      <c r="D90" s="26">
        <f t="shared" ref="D90:AC90" si="50">SUM(D84:D89)</f>
        <v>0</v>
      </c>
      <c r="E90" s="26">
        <f t="shared" si="50"/>
        <v>0</v>
      </c>
      <c r="F90" s="26">
        <f t="shared" si="50"/>
        <v>0</v>
      </c>
      <c r="G90" s="26">
        <f t="shared" si="50"/>
        <v>0</v>
      </c>
      <c r="H90" s="26">
        <f t="shared" si="50"/>
        <v>0</v>
      </c>
      <c r="I90" s="26">
        <f t="shared" si="50"/>
        <v>0</v>
      </c>
      <c r="J90" s="26">
        <f t="shared" si="50"/>
        <v>0</v>
      </c>
      <c r="K90" s="26">
        <f t="shared" si="50"/>
        <v>0</v>
      </c>
      <c r="L90" s="26">
        <f t="shared" si="50"/>
        <v>0</v>
      </c>
      <c r="M90" s="26">
        <f t="shared" si="50"/>
        <v>0</v>
      </c>
      <c r="N90" s="26">
        <f t="shared" si="50"/>
        <v>0</v>
      </c>
      <c r="O90" s="26">
        <f t="shared" si="50"/>
        <v>0</v>
      </c>
      <c r="P90" s="28">
        <f t="shared" si="50"/>
        <v>0</v>
      </c>
      <c r="Q90" s="26">
        <f t="shared" si="50"/>
        <v>0</v>
      </c>
      <c r="R90" s="26">
        <f t="shared" si="50"/>
        <v>0</v>
      </c>
      <c r="S90" s="26">
        <f t="shared" si="50"/>
        <v>0</v>
      </c>
      <c r="T90" s="26">
        <f t="shared" si="50"/>
        <v>0</v>
      </c>
      <c r="U90" s="26">
        <f t="shared" si="50"/>
        <v>0</v>
      </c>
      <c r="V90" s="30">
        <f t="shared" si="50"/>
        <v>0</v>
      </c>
      <c r="W90" s="32">
        <f t="shared" si="50"/>
        <v>0</v>
      </c>
      <c r="X90" s="26">
        <f t="shared" si="50"/>
        <v>0</v>
      </c>
      <c r="Y90" s="26">
        <f t="shared" si="50"/>
        <v>0</v>
      </c>
      <c r="Z90" s="26">
        <f t="shared" si="50"/>
        <v>0</v>
      </c>
      <c r="AA90" s="26">
        <f t="shared" si="50"/>
        <v>0</v>
      </c>
      <c r="AB90" s="26">
        <f t="shared" ref="AB90" si="51">SUM(AB84:AB89)</f>
        <v>0</v>
      </c>
      <c r="AC90" s="34">
        <f t="shared" si="50"/>
        <v>0</v>
      </c>
    </row>
    <row r="92" spans="1:29" x14ac:dyDescent="0.15">
      <c r="A92" s="56" t="s">
        <v>76</v>
      </c>
      <c r="B92" s="24"/>
      <c r="C92" s="59" t="s">
        <v>41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1"/>
      <c r="Q92" s="62" t="s">
        <v>51</v>
      </c>
      <c r="R92" s="62"/>
      <c r="S92" s="62"/>
      <c r="T92" s="62"/>
      <c r="U92" s="62"/>
      <c r="V92" s="62"/>
      <c r="W92" s="31"/>
      <c r="X92" s="53" t="s">
        <v>53</v>
      </c>
      <c r="Y92" s="54"/>
      <c r="Z92" s="54"/>
      <c r="AA92" s="54"/>
      <c r="AB92" s="55"/>
      <c r="AC92" s="34"/>
    </row>
    <row r="93" spans="1:29" x14ac:dyDescent="0.15">
      <c r="A93" s="57"/>
      <c r="B93" s="24"/>
      <c r="C93" s="24" t="s">
        <v>8</v>
      </c>
      <c r="D93" s="24" t="s">
        <v>10</v>
      </c>
      <c r="E93" s="24" t="s">
        <v>11</v>
      </c>
      <c r="F93" s="24" t="s">
        <v>12</v>
      </c>
      <c r="G93" s="24" t="s">
        <v>13</v>
      </c>
      <c r="H93" s="24" t="s">
        <v>14</v>
      </c>
      <c r="I93" s="24" t="s">
        <v>15</v>
      </c>
      <c r="J93" s="24" t="s">
        <v>17</v>
      </c>
      <c r="K93" s="24" t="s">
        <v>16</v>
      </c>
      <c r="L93" s="24" t="s">
        <v>19</v>
      </c>
      <c r="M93" s="24" t="s">
        <v>20</v>
      </c>
      <c r="N93" s="24" t="s">
        <v>18</v>
      </c>
      <c r="O93" s="24" t="s">
        <v>34</v>
      </c>
      <c r="P93" s="27" t="s">
        <v>40</v>
      </c>
      <c r="Q93" s="24" t="s">
        <v>42</v>
      </c>
      <c r="R93" s="24" t="s">
        <v>43</v>
      </c>
      <c r="S93" s="24" t="s">
        <v>44</v>
      </c>
      <c r="T93" s="24" t="s">
        <v>45</v>
      </c>
      <c r="U93" s="24" t="s">
        <v>46</v>
      </c>
      <c r="V93" s="29" t="s">
        <v>52</v>
      </c>
      <c r="W93" s="31" t="s">
        <v>73</v>
      </c>
      <c r="X93" s="24" t="s">
        <v>21</v>
      </c>
      <c r="Y93" s="24" t="s">
        <v>69</v>
      </c>
      <c r="Z93" s="24" t="s">
        <v>70</v>
      </c>
      <c r="AA93" s="24" t="s">
        <v>53</v>
      </c>
      <c r="AB93" s="50" t="s">
        <v>109</v>
      </c>
      <c r="AC93" s="33" t="s">
        <v>50</v>
      </c>
    </row>
    <row r="94" spans="1:29" x14ac:dyDescent="0.15">
      <c r="A94" s="57"/>
      <c r="B94" s="24" t="s">
        <v>33</v>
      </c>
      <c r="C94" s="22">
        <f>COUNTIF(年間一覧表!$C$96:$I$101,LEFT(月別集計!C$93,1))</f>
        <v>0</v>
      </c>
      <c r="D94" s="22">
        <f>COUNTIF(年間一覧表!$C$96:$I$101,LEFT(月別集計!D$93,1))</f>
        <v>0</v>
      </c>
      <c r="E94" s="22">
        <f>COUNTIF(年間一覧表!$C$96:$I$101,LEFT(月別集計!E$93,1))</f>
        <v>0</v>
      </c>
      <c r="F94" s="22">
        <f>COUNTIF(年間一覧表!$C$96:$I$101,LEFT(月別集計!F$93,1))</f>
        <v>0</v>
      </c>
      <c r="G94" s="22">
        <f>COUNTIF(年間一覧表!$C$96:$I$101,LEFT(月別集計!G$93,1))</f>
        <v>0</v>
      </c>
      <c r="H94" s="22">
        <f>COUNTIF(年間一覧表!$C$96:$I$101,LEFT(月別集計!H$93,1))</f>
        <v>0</v>
      </c>
      <c r="I94" s="22">
        <f>COUNTIF(年間一覧表!$C$96:$I$101,LEFT(月別集計!I$93,1))</f>
        <v>0</v>
      </c>
      <c r="J94" s="22">
        <f>COUNTIF(年間一覧表!$C$96:$I$101,LEFT(月別集計!J$93,1))</f>
        <v>0</v>
      </c>
      <c r="K94" s="22">
        <f>COUNTIF(年間一覧表!$C$96:$I$101,LEFT(月別集計!K$93,1))</f>
        <v>0</v>
      </c>
      <c r="L94" s="22">
        <f>COUNTIF(年間一覧表!$C$96:$I$101,LEFT(月別集計!L$93,1))</f>
        <v>0</v>
      </c>
      <c r="M94" s="22">
        <f>COUNTIF(年間一覧表!$C$96:$I$101,LEFT(月別集計!M$93,1))</f>
        <v>0</v>
      </c>
      <c r="N94" s="22">
        <f>COUNTIF(年間一覧表!$C$96:$I$101,LEFT(月別集計!N$93,1))</f>
        <v>0</v>
      </c>
      <c r="O94" s="22">
        <f>COUNTIF(年間一覧表!$C$96:$I$101,LEFT(月別集計!O$93,1))</f>
        <v>0</v>
      </c>
      <c r="P94" s="28">
        <f>SUM(C94:O94)</f>
        <v>0</v>
      </c>
      <c r="Q94" s="22">
        <f>COUNTIF(年間一覧表!$C$96:$I$101,LEFT(月別集計!Q$93,1))</f>
        <v>0</v>
      </c>
      <c r="R94" s="22">
        <f>COUNTIF(年間一覧表!$C$96:$I$101,RIGHT(月別集計!R$93,1))</f>
        <v>0</v>
      </c>
      <c r="S94" s="22">
        <f>COUNTIF(年間一覧表!$C$96:$I$101,LEFT(月別集計!S$93,1))</f>
        <v>0</v>
      </c>
      <c r="T94" s="22">
        <f>COUNTIF(年間一覧表!$C$96:$I$101,LEFT(月別集計!T$93,1))</f>
        <v>0</v>
      </c>
      <c r="U94" s="22">
        <f>COUNTIF(年間一覧表!$C$96:$I$101,LEFT(月別集計!U$93,1))</f>
        <v>0</v>
      </c>
      <c r="V94" s="30">
        <f>SUM(Q94:U94)</f>
        <v>0</v>
      </c>
      <c r="W94" s="32">
        <f>P94+V94</f>
        <v>0</v>
      </c>
      <c r="X94" s="22">
        <f>COUNTIF(年間一覧表!$C$96:$I$101,LEFT(月別集計!X$93,1))</f>
        <v>0</v>
      </c>
      <c r="Y94" s="22">
        <f>COUNTIF(年間一覧表!$C$96:$I$101,LEFT(月別集計!Y$93,1))</f>
        <v>0</v>
      </c>
      <c r="Z94" s="22">
        <f>COUNTIF(年間一覧表!$C$96:$I$101,LEFT(月別集計!Z$93,1))</f>
        <v>0</v>
      </c>
      <c r="AA94" s="22">
        <f>COUNTIF(年間一覧表!$C$96:$I$101,LEFT(月別集計!AA$93,1))</f>
        <v>0</v>
      </c>
      <c r="AB94" s="22">
        <f>COUNTIF(年間一覧表!$C$96:$I$101,LEFT(月別集計!AB$93,1))</f>
        <v>0</v>
      </c>
      <c r="AC94" s="34">
        <f>SUM(W94:AB94)</f>
        <v>0</v>
      </c>
    </row>
    <row r="95" spans="1:29" x14ac:dyDescent="0.15">
      <c r="A95" s="57"/>
      <c r="B95" s="24" t="s">
        <v>35</v>
      </c>
      <c r="C95" s="22">
        <f>COUNTIF(年間一覧表!$J$96:$P$101,LEFT(月別集計!C$93,1))</f>
        <v>0</v>
      </c>
      <c r="D95" s="22">
        <f>COUNTIF(年間一覧表!$J$96:$P$101,LEFT(月別集計!D$93,1))</f>
        <v>0</v>
      </c>
      <c r="E95" s="22">
        <f>COUNTIF(年間一覧表!$J$96:$P$101,LEFT(月別集計!E$93,1))</f>
        <v>0</v>
      </c>
      <c r="F95" s="22">
        <f>COUNTIF(年間一覧表!$J$96:$P$101,LEFT(月別集計!F$93,1))</f>
        <v>0</v>
      </c>
      <c r="G95" s="22">
        <f>COUNTIF(年間一覧表!$J$96:$P$101,LEFT(月別集計!G$93,1))</f>
        <v>0</v>
      </c>
      <c r="H95" s="22">
        <f>COUNTIF(年間一覧表!$J$96:$P$101,LEFT(月別集計!H$93,1))</f>
        <v>0</v>
      </c>
      <c r="I95" s="22">
        <f>COUNTIF(年間一覧表!$J$96:$P$101,LEFT(月別集計!I$93,1))</f>
        <v>0</v>
      </c>
      <c r="J95" s="22">
        <f>COUNTIF(年間一覧表!$J$96:$P$101,LEFT(月別集計!J$93,1))</f>
        <v>0</v>
      </c>
      <c r="K95" s="22">
        <f>COUNTIF(年間一覧表!$J$96:$P$101,LEFT(月別集計!K$93,1))</f>
        <v>0</v>
      </c>
      <c r="L95" s="22">
        <f>COUNTIF(年間一覧表!$J$96:$P$101,LEFT(月別集計!L$93,1))</f>
        <v>0</v>
      </c>
      <c r="M95" s="22">
        <f>COUNTIF(年間一覧表!$J$96:$P$101,LEFT(月別集計!M$93,1))</f>
        <v>0</v>
      </c>
      <c r="N95" s="22">
        <f>COUNTIF(年間一覧表!$J$96:$P$101,LEFT(月別集計!N$93,1))</f>
        <v>0</v>
      </c>
      <c r="O95" s="22">
        <f>COUNTIF(年間一覧表!$J$96:$P$101,LEFT(月別集計!O$93,1))</f>
        <v>0</v>
      </c>
      <c r="P95" s="28">
        <f t="shared" ref="P95:P99" si="52">SUM(C95:O95)</f>
        <v>0</v>
      </c>
      <c r="Q95" s="22">
        <f>COUNTIF(年間一覧表!$J$96:$P$101,LEFT(月別集計!Q$93,1))</f>
        <v>0</v>
      </c>
      <c r="R95" s="22">
        <f>COUNTIF(年間一覧表!$J$96:$P$101,RIGHT(月別集計!R$93,1))</f>
        <v>0</v>
      </c>
      <c r="S95" s="22">
        <f>COUNTIF(年間一覧表!$J$96:$P$101,LEFT(月別集計!S$93,1))</f>
        <v>0</v>
      </c>
      <c r="T95" s="22">
        <f>COUNTIF(年間一覧表!$J$96:$P$101,LEFT(月別集計!T$93,1))</f>
        <v>0</v>
      </c>
      <c r="U95" s="22">
        <f>COUNTIF(年間一覧表!$J$96:$P$101,LEFT(月別集計!U$93,1))</f>
        <v>0</v>
      </c>
      <c r="V95" s="30">
        <f t="shared" ref="V95:V99" si="53">SUM(Q95:U95)</f>
        <v>0</v>
      </c>
      <c r="W95" s="32">
        <f t="shared" ref="W95:W99" si="54">P95+V95</f>
        <v>0</v>
      </c>
      <c r="X95" s="22">
        <f>COUNTIF(年間一覧表!$J$96:$P$101,LEFT(月別集計!X$93,1))</f>
        <v>0</v>
      </c>
      <c r="Y95" s="22">
        <f>COUNTIF(年間一覧表!$J$96:$P$101,LEFT(月別集計!Y$93,1))</f>
        <v>0</v>
      </c>
      <c r="Z95" s="22">
        <f>COUNTIF(年間一覧表!$J$96:$P$101,LEFT(月別集計!Z$93,1))</f>
        <v>0</v>
      </c>
      <c r="AA95" s="22">
        <f>COUNTIF(年間一覧表!$J$96:$P$101,LEFT(月別集計!AA$93,1))</f>
        <v>0</v>
      </c>
      <c r="AB95" s="22">
        <f>COUNTIF(年間一覧表!$J$96:$P$101,LEFT(月別集計!AB$93,1))</f>
        <v>0</v>
      </c>
      <c r="AC95" s="34">
        <f t="shared" ref="AC95:AC99" si="55">SUM(W95:AB95)</f>
        <v>0</v>
      </c>
    </row>
    <row r="96" spans="1:29" x14ac:dyDescent="0.15">
      <c r="A96" s="57"/>
      <c r="B96" s="24" t="s">
        <v>36</v>
      </c>
      <c r="C96" s="22">
        <f>COUNTIF(年間一覧表!$Q$96:$W$101,LEFT(月別集計!C$93,1))</f>
        <v>0</v>
      </c>
      <c r="D96" s="22">
        <f>COUNTIF(年間一覧表!$Q$96:$W$101,LEFT(月別集計!D$93,1))</f>
        <v>0</v>
      </c>
      <c r="E96" s="22">
        <f>COUNTIF(年間一覧表!$Q$96:$W$101,LEFT(月別集計!E$93,1))</f>
        <v>0</v>
      </c>
      <c r="F96" s="22">
        <f>COUNTIF(年間一覧表!$Q$96:$W$101,LEFT(月別集計!F$93,1))</f>
        <v>0</v>
      </c>
      <c r="G96" s="22">
        <f>COUNTIF(年間一覧表!$Q$96:$W$101,LEFT(月別集計!G$93,1))</f>
        <v>0</v>
      </c>
      <c r="H96" s="22">
        <f>COUNTIF(年間一覧表!$Q$96:$W$101,LEFT(月別集計!H$93,1))</f>
        <v>0</v>
      </c>
      <c r="I96" s="22">
        <f>COUNTIF(年間一覧表!$Q$96:$W$101,LEFT(月別集計!I$93,1))</f>
        <v>0</v>
      </c>
      <c r="J96" s="22">
        <f>COUNTIF(年間一覧表!$Q$96:$W$101,LEFT(月別集計!J$93,1))</f>
        <v>0</v>
      </c>
      <c r="K96" s="22">
        <f>COUNTIF(年間一覧表!$Q$96:$W$101,LEFT(月別集計!K$93,1))</f>
        <v>0</v>
      </c>
      <c r="L96" s="22">
        <f>COUNTIF(年間一覧表!$Q$96:$W$101,LEFT(月別集計!L$93,1))</f>
        <v>0</v>
      </c>
      <c r="M96" s="22">
        <f>COUNTIF(年間一覧表!$Q$96:$W$101,LEFT(月別集計!M$93,1))</f>
        <v>0</v>
      </c>
      <c r="N96" s="22">
        <f>COUNTIF(年間一覧表!$Q$96:$W$101,LEFT(月別集計!N$93,1))</f>
        <v>0</v>
      </c>
      <c r="O96" s="22">
        <f>COUNTIF(年間一覧表!$Q$96:$W$101,LEFT(月別集計!O$93,1))</f>
        <v>0</v>
      </c>
      <c r="P96" s="28">
        <f t="shared" si="52"/>
        <v>0</v>
      </c>
      <c r="Q96" s="22">
        <f>COUNTIF(年間一覧表!$Q$96:$W$101,LEFT(月別集計!Q$93,1))</f>
        <v>0</v>
      </c>
      <c r="R96" s="22">
        <f>COUNTIF(年間一覧表!$Q$96:$W$101,RIGHT(月別集計!R$93,1))</f>
        <v>0</v>
      </c>
      <c r="S96" s="22">
        <f>COUNTIF(年間一覧表!$Q$96:$W$101,LEFT(月別集計!S$93,1))</f>
        <v>0</v>
      </c>
      <c r="T96" s="22">
        <f>COUNTIF(年間一覧表!$Q$96:$W$101,LEFT(月別集計!T$93,1))</f>
        <v>0</v>
      </c>
      <c r="U96" s="22">
        <f>COUNTIF(年間一覧表!$Q$96:$W$101,LEFT(月別集計!U$93,1))</f>
        <v>0</v>
      </c>
      <c r="V96" s="30">
        <f t="shared" si="53"/>
        <v>0</v>
      </c>
      <c r="W96" s="32">
        <f t="shared" si="54"/>
        <v>0</v>
      </c>
      <c r="X96" s="22">
        <f>COUNTIF(年間一覧表!$Q$96:$W$101,LEFT(月別集計!X$93,1))</f>
        <v>0</v>
      </c>
      <c r="Y96" s="22">
        <f>COUNTIF(年間一覧表!$Q$96:$W$101,LEFT(月別集計!Y$93,1))</f>
        <v>0</v>
      </c>
      <c r="Z96" s="22">
        <f>COUNTIF(年間一覧表!$Q$96:$W$101,LEFT(月別集計!Z$93,1))</f>
        <v>0</v>
      </c>
      <c r="AA96" s="22">
        <f>COUNTIF(年間一覧表!$Q$96:$W$101,LEFT(月別集計!AA$93,1))</f>
        <v>0</v>
      </c>
      <c r="AB96" s="22">
        <f>COUNTIF(年間一覧表!$Q$96:$W$101,LEFT(月別集計!AB$93,1))</f>
        <v>0</v>
      </c>
      <c r="AC96" s="34">
        <f t="shared" si="55"/>
        <v>0</v>
      </c>
    </row>
    <row r="97" spans="1:29" x14ac:dyDescent="0.15">
      <c r="A97" s="57"/>
      <c r="B97" s="24" t="s">
        <v>37</v>
      </c>
      <c r="C97" s="22">
        <f>COUNTIF(年間一覧表!$X$96:$AD$101,LEFT(月別集計!C$93,1))</f>
        <v>0</v>
      </c>
      <c r="D97" s="22">
        <f>COUNTIF(年間一覧表!$X$96:$AD$101,LEFT(月別集計!D$93,1))</f>
        <v>0</v>
      </c>
      <c r="E97" s="22">
        <f>COUNTIF(年間一覧表!$X$96:$AD$101,LEFT(月別集計!E$93,1))</f>
        <v>0</v>
      </c>
      <c r="F97" s="22">
        <f>COUNTIF(年間一覧表!$X$96:$AD$101,LEFT(月別集計!F$93,1))</f>
        <v>0</v>
      </c>
      <c r="G97" s="22">
        <f>COUNTIF(年間一覧表!$X$96:$AD$101,LEFT(月別集計!G$93,1))</f>
        <v>0</v>
      </c>
      <c r="H97" s="22">
        <f>COUNTIF(年間一覧表!$X$96:$AD$101,LEFT(月別集計!H$93,1))</f>
        <v>0</v>
      </c>
      <c r="I97" s="22">
        <f>COUNTIF(年間一覧表!$X$96:$AD$101,LEFT(月別集計!I$93,1))</f>
        <v>0</v>
      </c>
      <c r="J97" s="22">
        <f>COUNTIF(年間一覧表!$X$96:$AD$101,LEFT(月別集計!J$93,1))</f>
        <v>0</v>
      </c>
      <c r="K97" s="22">
        <f>COUNTIF(年間一覧表!$X$96:$AD$101,LEFT(月別集計!K$93,1))</f>
        <v>0</v>
      </c>
      <c r="L97" s="22">
        <f>COUNTIF(年間一覧表!$X$96:$AD$101,LEFT(月別集計!L$93,1))</f>
        <v>0</v>
      </c>
      <c r="M97" s="22">
        <f>COUNTIF(年間一覧表!$X$96:$AD$101,LEFT(月別集計!M$93,1))</f>
        <v>0</v>
      </c>
      <c r="N97" s="22">
        <f>COUNTIF(年間一覧表!$X$96:$AD$101,LEFT(月別集計!N$93,1))</f>
        <v>0</v>
      </c>
      <c r="O97" s="22">
        <f>COUNTIF(年間一覧表!$X$96:$AD$101,LEFT(月別集計!O$93,1))</f>
        <v>0</v>
      </c>
      <c r="P97" s="28">
        <f t="shared" si="52"/>
        <v>0</v>
      </c>
      <c r="Q97" s="22">
        <f>COUNTIF(年間一覧表!$X$96:$AD$101,LEFT(月別集計!Q$93,1))</f>
        <v>0</v>
      </c>
      <c r="R97" s="22">
        <f>COUNTIF(年間一覧表!$X$96:$AD$101,RIGHT(月別集計!R$93,1))</f>
        <v>0</v>
      </c>
      <c r="S97" s="22">
        <f>COUNTIF(年間一覧表!$X$96:$AD$101,LEFT(月別集計!S$93,1))</f>
        <v>0</v>
      </c>
      <c r="T97" s="22">
        <f>COUNTIF(年間一覧表!$X$96:$AD$101,LEFT(月別集計!T$93,1))</f>
        <v>0</v>
      </c>
      <c r="U97" s="22">
        <f>COUNTIF(年間一覧表!$X$96:$AD$101,LEFT(月別集計!U$93,1))</f>
        <v>0</v>
      </c>
      <c r="V97" s="30">
        <f t="shared" si="53"/>
        <v>0</v>
      </c>
      <c r="W97" s="32">
        <f t="shared" si="54"/>
        <v>0</v>
      </c>
      <c r="X97" s="22">
        <f>COUNTIF(年間一覧表!$X$96:$AD$101,LEFT(月別集計!X$93,1))</f>
        <v>0</v>
      </c>
      <c r="Y97" s="22">
        <f>COUNTIF(年間一覧表!$X$96:$AD$101,LEFT(月別集計!Y$93,1))</f>
        <v>0</v>
      </c>
      <c r="Z97" s="22">
        <f>COUNTIF(年間一覧表!$X$96:$AD$101,LEFT(月別集計!Z$93,1))</f>
        <v>0</v>
      </c>
      <c r="AA97" s="22">
        <f>COUNTIF(年間一覧表!$X$96:$AD$101,LEFT(月別集計!AA$93,1))</f>
        <v>0</v>
      </c>
      <c r="AB97" s="22">
        <f>COUNTIF(年間一覧表!$X$96:$AD$101,LEFT(月別集計!AB$93,1))</f>
        <v>0</v>
      </c>
      <c r="AC97" s="34">
        <f t="shared" si="55"/>
        <v>0</v>
      </c>
    </row>
    <row r="98" spans="1:29" x14ac:dyDescent="0.15">
      <c r="A98" s="57"/>
      <c r="B98" s="24" t="s">
        <v>38</v>
      </c>
      <c r="C98" s="22">
        <f>COUNTIF(年間一覧表!$AE$96:$AK$101,LEFT(月別集計!C$93,1))</f>
        <v>0</v>
      </c>
      <c r="D98" s="22">
        <f>COUNTIF(年間一覧表!$AE$96:$AK$101,LEFT(月別集計!D$93,1))</f>
        <v>0</v>
      </c>
      <c r="E98" s="22">
        <f>COUNTIF(年間一覧表!$AE$96:$AK$101,LEFT(月別集計!E$93,1))</f>
        <v>0</v>
      </c>
      <c r="F98" s="22">
        <f>COUNTIF(年間一覧表!$AE$96:$AK$101,LEFT(月別集計!F$93,1))</f>
        <v>0</v>
      </c>
      <c r="G98" s="22">
        <f>COUNTIF(年間一覧表!$AE$96:$AK$101,LEFT(月別集計!G$93,1))</f>
        <v>0</v>
      </c>
      <c r="H98" s="22">
        <f>COUNTIF(年間一覧表!$AE$96:$AK$101,LEFT(月別集計!H$93,1))</f>
        <v>0</v>
      </c>
      <c r="I98" s="22">
        <f>COUNTIF(年間一覧表!$AE$96:$AK$101,LEFT(月別集計!I$93,1))</f>
        <v>0</v>
      </c>
      <c r="J98" s="22">
        <f>COUNTIF(年間一覧表!$AE$96:$AK$101,LEFT(月別集計!J$93,1))</f>
        <v>0</v>
      </c>
      <c r="K98" s="22">
        <f>COUNTIF(年間一覧表!$AE$96:$AK$101,LEFT(月別集計!K$93,1))</f>
        <v>0</v>
      </c>
      <c r="L98" s="22">
        <f>COUNTIF(年間一覧表!$AE$96:$AK$101,LEFT(月別集計!L$93,1))</f>
        <v>0</v>
      </c>
      <c r="M98" s="22">
        <f>COUNTIF(年間一覧表!$AE$96:$AK$101,LEFT(月別集計!M$93,1))</f>
        <v>0</v>
      </c>
      <c r="N98" s="22">
        <f>COUNTIF(年間一覧表!$AE$96:$AK$101,LEFT(月別集計!N$93,1))</f>
        <v>0</v>
      </c>
      <c r="O98" s="22">
        <f>COUNTIF(年間一覧表!$AE$96:$AK$101,LEFT(月別集計!O$93,1))</f>
        <v>0</v>
      </c>
      <c r="P98" s="28">
        <f t="shared" si="52"/>
        <v>0</v>
      </c>
      <c r="Q98" s="22">
        <f>COUNTIF(年間一覧表!$AE$96:$AK$101,LEFT(月別集計!Q$93,1))</f>
        <v>0</v>
      </c>
      <c r="R98" s="22">
        <f>COUNTIF(年間一覧表!$AE$96:$AK$101,RIGHT(月別集計!R$93,1))</f>
        <v>0</v>
      </c>
      <c r="S98" s="22">
        <f>COUNTIF(年間一覧表!$AE$96:$AK$101,LEFT(月別集計!S$93,1))</f>
        <v>0</v>
      </c>
      <c r="T98" s="22">
        <f>COUNTIF(年間一覧表!$AE$96:$AK$101,LEFT(月別集計!T$93,1))</f>
        <v>0</v>
      </c>
      <c r="U98" s="22">
        <f>COUNTIF(年間一覧表!$AE$96:$AK$101,LEFT(月別集計!U$93,1))</f>
        <v>0</v>
      </c>
      <c r="V98" s="30">
        <f t="shared" si="53"/>
        <v>0</v>
      </c>
      <c r="W98" s="32">
        <f t="shared" si="54"/>
        <v>0</v>
      </c>
      <c r="X98" s="22">
        <f>COUNTIF(年間一覧表!$AE$96:$AK$101,LEFT(月別集計!X$93,1))</f>
        <v>0</v>
      </c>
      <c r="Y98" s="22">
        <f>COUNTIF(年間一覧表!$AE$96:$AK$101,LEFT(月別集計!Y$93,1))</f>
        <v>0</v>
      </c>
      <c r="Z98" s="22">
        <f>COUNTIF(年間一覧表!$AE$96:$AK$101,LEFT(月別集計!Z$93,1))</f>
        <v>0</v>
      </c>
      <c r="AA98" s="22">
        <f>COUNTIF(年間一覧表!$AE$96:$AK$101,LEFT(月別集計!AA$93,1))</f>
        <v>0</v>
      </c>
      <c r="AB98" s="22">
        <f>COUNTIF(年間一覧表!$AE$96:$AK$101,LEFT(月別集計!AB$93,1))</f>
        <v>0</v>
      </c>
      <c r="AC98" s="34">
        <f t="shared" si="55"/>
        <v>0</v>
      </c>
    </row>
    <row r="99" spans="1:29" x14ac:dyDescent="0.15">
      <c r="A99" s="57"/>
      <c r="B99" s="24" t="s">
        <v>39</v>
      </c>
      <c r="C99" s="22">
        <f>COUNTIF(年間一覧表!$AL$96:$AM$101,LEFT(月別集計!C$93,1))</f>
        <v>0</v>
      </c>
      <c r="D99" s="22">
        <f>COUNTIF(年間一覧表!$AL$96:$AM$101,LEFT(月別集計!D$93,1))</f>
        <v>0</v>
      </c>
      <c r="E99" s="22">
        <f>COUNTIF(年間一覧表!$AL$96:$AM$101,LEFT(月別集計!E$93,1))</f>
        <v>0</v>
      </c>
      <c r="F99" s="22">
        <f>COUNTIF(年間一覧表!$AL$96:$AM$101,LEFT(月別集計!F$93,1))</f>
        <v>0</v>
      </c>
      <c r="G99" s="22">
        <f>COUNTIF(年間一覧表!$AL$96:$AM$101,LEFT(月別集計!G$93,1))</f>
        <v>0</v>
      </c>
      <c r="H99" s="22">
        <f>COUNTIF(年間一覧表!$AL$96:$AM$101,LEFT(月別集計!H$93,1))</f>
        <v>0</v>
      </c>
      <c r="I99" s="22">
        <f>COUNTIF(年間一覧表!$AL$96:$AM$101,LEFT(月別集計!I$93,1))</f>
        <v>0</v>
      </c>
      <c r="J99" s="22">
        <f>COUNTIF(年間一覧表!$AL$96:$AM$101,LEFT(月別集計!J$93,1))</f>
        <v>0</v>
      </c>
      <c r="K99" s="22">
        <f>COUNTIF(年間一覧表!$AL$96:$AM$101,LEFT(月別集計!K$93,1))</f>
        <v>0</v>
      </c>
      <c r="L99" s="22">
        <f>COUNTIF(年間一覧表!$AL$96:$AM$101,LEFT(月別集計!L$93,1))</f>
        <v>0</v>
      </c>
      <c r="M99" s="22">
        <f>COUNTIF(年間一覧表!$AL$96:$AM$101,LEFT(月別集計!M$93,1))</f>
        <v>0</v>
      </c>
      <c r="N99" s="22">
        <f>COUNTIF(年間一覧表!$AL$96:$AM$101,LEFT(月別集計!N$93,1))</f>
        <v>0</v>
      </c>
      <c r="O99" s="22">
        <f>COUNTIF(年間一覧表!$AL$96:$AM$101,LEFT(月別集計!O$93,1))</f>
        <v>0</v>
      </c>
      <c r="P99" s="28">
        <f t="shared" si="52"/>
        <v>0</v>
      </c>
      <c r="Q99" s="22">
        <f>COUNTIF(年間一覧表!$AL$96:$AM$101,LEFT(月別集計!Q$93,1))</f>
        <v>0</v>
      </c>
      <c r="R99" s="22">
        <f>COUNTIF(年間一覧表!$AL$96:$AM$101,RIGHT(月別集計!R$93,1))</f>
        <v>0</v>
      </c>
      <c r="S99" s="22">
        <f>COUNTIF(年間一覧表!$AL$96:$AM$101,LEFT(月別集計!S$93,1))</f>
        <v>0</v>
      </c>
      <c r="T99" s="22">
        <f>COUNTIF(年間一覧表!$AL$96:$AM$101,LEFT(月別集計!T$93,1))</f>
        <v>0</v>
      </c>
      <c r="U99" s="22">
        <f>COUNTIF(年間一覧表!$AL$96:$AM$101,LEFT(月別集計!U$93,1))</f>
        <v>0</v>
      </c>
      <c r="V99" s="30">
        <f t="shared" si="53"/>
        <v>0</v>
      </c>
      <c r="W99" s="32">
        <f t="shared" si="54"/>
        <v>0</v>
      </c>
      <c r="X99" s="22">
        <f>COUNTIF(年間一覧表!$AL$96:$AM$101,LEFT(月別集計!X$93,1))</f>
        <v>0</v>
      </c>
      <c r="Y99" s="22">
        <f>COUNTIF(年間一覧表!$AL$96:$AM$101,LEFT(月別集計!Y$93,1))</f>
        <v>0</v>
      </c>
      <c r="Z99" s="22">
        <f>COUNTIF(年間一覧表!$AL$96:$AM$101,LEFT(月別集計!Z$93,1))</f>
        <v>0</v>
      </c>
      <c r="AA99" s="22">
        <f>COUNTIF(年間一覧表!$AL$96:$AM$101,LEFT(月別集計!AA$93,1))</f>
        <v>0</v>
      </c>
      <c r="AB99" s="22">
        <f>COUNTIF(年間一覧表!$AL$96:$AM$101,LEFT(月別集計!AB$93,1))</f>
        <v>0</v>
      </c>
      <c r="AC99" s="34">
        <f t="shared" si="55"/>
        <v>0</v>
      </c>
    </row>
    <row r="100" spans="1:29" x14ac:dyDescent="0.15">
      <c r="A100" s="58"/>
      <c r="B100" s="24" t="s">
        <v>40</v>
      </c>
      <c r="C100" s="26">
        <f>SUM(C94:C99)</f>
        <v>0</v>
      </c>
      <c r="D100" s="26">
        <f t="shared" ref="D100:AC100" si="56">SUM(D94:D99)</f>
        <v>0</v>
      </c>
      <c r="E100" s="26">
        <f t="shared" si="56"/>
        <v>0</v>
      </c>
      <c r="F100" s="26">
        <f t="shared" si="56"/>
        <v>0</v>
      </c>
      <c r="G100" s="26">
        <f t="shared" si="56"/>
        <v>0</v>
      </c>
      <c r="H100" s="26">
        <f t="shared" si="56"/>
        <v>0</v>
      </c>
      <c r="I100" s="26">
        <f t="shared" si="56"/>
        <v>0</v>
      </c>
      <c r="J100" s="26">
        <f t="shared" si="56"/>
        <v>0</v>
      </c>
      <c r="K100" s="26">
        <f t="shared" si="56"/>
        <v>0</v>
      </c>
      <c r="L100" s="26">
        <f t="shared" si="56"/>
        <v>0</v>
      </c>
      <c r="M100" s="26">
        <f t="shared" si="56"/>
        <v>0</v>
      </c>
      <c r="N100" s="26">
        <f t="shared" si="56"/>
        <v>0</v>
      </c>
      <c r="O100" s="26">
        <f t="shared" si="56"/>
        <v>0</v>
      </c>
      <c r="P100" s="28">
        <f t="shared" si="56"/>
        <v>0</v>
      </c>
      <c r="Q100" s="26">
        <f t="shared" si="56"/>
        <v>0</v>
      </c>
      <c r="R100" s="26">
        <f t="shared" si="56"/>
        <v>0</v>
      </c>
      <c r="S100" s="26">
        <f t="shared" si="56"/>
        <v>0</v>
      </c>
      <c r="T100" s="26">
        <f t="shared" si="56"/>
        <v>0</v>
      </c>
      <c r="U100" s="26">
        <f t="shared" si="56"/>
        <v>0</v>
      </c>
      <c r="V100" s="30">
        <f t="shared" si="56"/>
        <v>0</v>
      </c>
      <c r="W100" s="32">
        <f t="shared" si="56"/>
        <v>0</v>
      </c>
      <c r="X100" s="26">
        <f t="shared" si="56"/>
        <v>0</v>
      </c>
      <c r="Y100" s="26">
        <f t="shared" si="56"/>
        <v>0</v>
      </c>
      <c r="Z100" s="26">
        <f t="shared" si="56"/>
        <v>0</v>
      </c>
      <c r="AA100" s="26">
        <f t="shared" si="56"/>
        <v>0</v>
      </c>
      <c r="AB100" s="26">
        <f t="shared" ref="AB100" si="57">SUM(AB94:AB99)</f>
        <v>0</v>
      </c>
      <c r="AC100" s="34">
        <f t="shared" si="56"/>
        <v>0</v>
      </c>
    </row>
    <row r="102" spans="1:29" x14ac:dyDescent="0.15">
      <c r="A102" s="56" t="s">
        <v>77</v>
      </c>
      <c r="B102" s="24"/>
      <c r="C102" s="59" t="s">
        <v>41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1"/>
      <c r="Q102" s="62" t="s">
        <v>51</v>
      </c>
      <c r="R102" s="62"/>
      <c r="S102" s="62"/>
      <c r="T102" s="62"/>
      <c r="U102" s="62"/>
      <c r="V102" s="62"/>
      <c r="W102" s="31"/>
      <c r="X102" s="53" t="s">
        <v>53</v>
      </c>
      <c r="Y102" s="54"/>
      <c r="Z102" s="54"/>
      <c r="AA102" s="54"/>
      <c r="AB102" s="55"/>
      <c r="AC102" s="34"/>
    </row>
    <row r="103" spans="1:29" x14ac:dyDescent="0.15">
      <c r="A103" s="57"/>
      <c r="B103" s="24"/>
      <c r="C103" s="24" t="s">
        <v>8</v>
      </c>
      <c r="D103" s="24" t="s">
        <v>10</v>
      </c>
      <c r="E103" s="24" t="s">
        <v>11</v>
      </c>
      <c r="F103" s="24" t="s">
        <v>12</v>
      </c>
      <c r="G103" s="24" t="s">
        <v>13</v>
      </c>
      <c r="H103" s="24" t="s">
        <v>14</v>
      </c>
      <c r="I103" s="24" t="s">
        <v>15</v>
      </c>
      <c r="J103" s="24" t="s">
        <v>17</v>
      </c>
      <c r="K103" s="24" t="s">
        <v>16</v>
      </c>
      <c r="L103" s="24" t="s">
        <v>19</v>
      </c>
      <c r="M103" s="24" t="s">
        <v>20</v>
      </c>
      <c r="N103" s="24" t="s">
        <v>18</v>
      </c>
      <c r="O103" s="24" t="s">
        <v>34</v>
      </c>
      <c r="P103" s="27" t="s">
        <v>40</v>
      </c>
      <c r="Q103" s="24" t="s">
        <v>42</v>
      </c>
      <c r="R103" s="24" t="s">
        <v>43</v>
      </c>
      <c r="S103" s="24" t="s">
        <v>44</v>
      </c>
      <c r="T103" s="24" t="s">
        <v>45</v>
      </c>
      <c r="U103" s="24" t="s">
        <v>46</v>
      </c>
      <c r="V103" s="29" t="s">
        <v>52</v>
      </c>
      <c r="W103" s="31" t="s">
        <v>73</v>
      </c>
      <c r="X103" s="24" t="s">
        <v>21</v>
      </c>
      <c r="Y103" s="24" t="s">
        <v>69</v>
      </c>
      <c r="Z103" s="24" t="s">
        <v>70</v>
      </c>
      <c r="AA103" s="24" t="s">
        <v>53</v>
      </c>
      <c r="AB103" s="50" t="s">
        <v>109</v>
      </c>
      <c r="AC103" s="33" t="s">
        <v>50</v>
      </c>
    </row>
    <row r="104" spans="1:29" x14ac:dyDescent="0.15">
      <c r="A104" s="57"/>
      <c r="B104" s="24" t="s">
        <v>33</v>
      </c>
      <c r="C104" s="22">
        <f>COUNTIF(年間一覧表!$C$106:$I$111,LEFT(月別集計!C$103,1))</f>
        <v>0</v>
      </c>
      <c r="D104" s="22">
        <f>COUNTIF(年間一覧表!$C$106:$I$111,LEFT(月別集計!D$103,1))</f>
        <v>0</v>
      </c>
      <c r="E104" s="22">
        <f>COUNTIF(年間一覧表!$C$106:$I$111,LEFT(月別集計!E$103,1))</f>
        <v>0</v>
      </c>
      <c r="F104" s="22">
        <f>COUNTIF(年間一覧表!$C$106:$I$111,LEFT(月別集計!F$103,1))</f>
        <v>0</v>
      </c>
      <c r="G104" s="22">
        <f>COUNTIF(年間一覧表!$C$106:$I$111,LEFT(月別集計!G$103,1))</f>
        <v>0</v>
      </c>
      <c r="H104" s="22">
        <f>COUNTIF(年間一覧表!$C$106:$I$111,LEFT(月別集計!H$103,1))</f>
        <v>0</v>
      </c>
      <c r="I104" s="22">
        <f>COUNTIF(年間一覧表!$C$106:$I$111,LEFT(月別集計!I$103,1))</f>
        <v>0</v>
      </c>
      <c r="J104" s="22">
        <f>COUNTIF(年間一覧表!$C$106:$I$111,LEFT(月別集計!J$103,1))</f>
        <v>0</v>
      </c>
      <c r="K104" s="22">
        <f>COUNTIF(年間一覧表!$C$106:$I$111,LEFT(月別集計!K$103,1))</f>
        <v>0</v>
      </c>
      <c r="L104" s="22">
        <f>COUNTIF(年間一覧表!$C$106:$I$111,LEFT(月別集計!L$103,1))</f>
        <v>0</v>
      </c>
      <c r="M104" s="22">
        <f>COUNTIF(年間一覧表!$C$106:$I$111,LEFT(月別集計!M$103,1))</f>
        <v>0</v>
      </c>
      <c r="N104" s="22">
        <f>COUNTIF(年間一覧表!$C$106:$I$111,LEFT(月別集計!N$103,1))</f>
        <v>0</v>
      </c>
      <c r="O104" s="22">
        <f>COUNTIF(年間一覧表!$C$106:$I$111,LEFT(月別集計!O$103,1))</f>
        <v>0</v>
      </c>
      <c r="P104" s="28">
        <f>SUM(C104:O104)</f>
        <v>0</v>
      </c>
      <c r="Q104" s="22">
        <f>COUNTIF(年間一覧表!$C$106:$I$111,LEFT(月別集計!Q$103,1))</f>
        <v>0</v>
      </c>
      <c r="R104" s="22">
        <f>COUNTIF(年間一覧表!$C$106:$I$111,RIGHT(月別集計!R$103,1))</f>
        <v>0</v>
      </c>
      <c r="S104" s="22">
        <f>COUNTIF(年間一覧表!$C$106:$I$111,LEFT(月別集計!S$103,1))</f>
        <v>0</v>
      </c>
      <c r="T104" s="22">
        <f>COUNTIF(年間一覧表!$C$106:$I$111,LEFT(月別集計!T$103,1))</f>
        <v>0</v>
      </c>
      <c r="U104" s="22">
        <f>COUNTIF(年間一覧表!$C$106:$I$111,LEFT(月別集計!U$103,1))</f>
        <v>0</v>
      </c>
      <c r="V104" s="30">
        <f>SUM(Q104:U104)</f>
        <v>0</v>
      </c>
      <c r="W104" s="32">
        <f>P104+V104</f>
        <v>0</v>
      </c>
      <c r="X104" s="22">
        <f>COUNTIF(年間一覧表!$C$106:$I$111,LEFT(月別集計!X$103,1))</f>
        <v>0</v>
      </c>
      <c r="Y104" s="22">
        <f>COUNTIF(年間一覧表!$C$106:$I$111,LEFT(月別集計!Y$103,1))</f>
        <v>0</v>
      </c>
      <c r="Z104" s="22">
        <f>COUNTIF(年間一覧表!$C$106:$I$111,LEFT(月別集計!Z$103,1))</f>
        <v>0</v>
      </c>
      <c r="AA104" s="22">
        <f>COUNTIF(年間一覧表!$C$106:$I$111,LEFT(月別集計!AA$103,1))</f>
        <v>0</v>
      </c>
      <c r="AB104" s="22">
        <f>COUNTIF(年間一覧表!$C$106:$I$111,LEFT(月別集計!AB$103,1))</f>
        <v>0</v>
      </c>
      <c r="AC104" s="34">
        <f>SUM(W104:AB104)</f>
        <v>0</v>
      </c>
    </row>
    <row r="105" spans="1:29" x14ac:dyDescent="0.15">
      <c r="A105" s="57"/>
      <c r="B105" s="24" t="s">
        <v>35</v>
      </c>
      <c r="C105" s="22">
        <f>COUNTIF(年間一覧表!$J$106:$P$111,LEFT(月別集計!C$103,1))</f>
        <v>0</v>
      </c>
      <c r="D105" s="22">
        <f>COUNTIF(年間一覧表!$J$106:$P$111,LEFT(月別集計!D$103,1))</f>
        <v>0</v>
      </c>
      <c r="E105" s="22">
        <f>COUNTIF(年間一覧表!$J$106:$P$111,LEFT(月別集計!E$103,1))</f>
        <v>0</v>
      </c>
      <c r="F105" s="22">
        <f>COUNTIF(年間一覧表!$J$106:$P$111,LEFT(月別集計!F$103,1))</f>
        <v>0</v>
      </c>
      <c r="G105" s="22">
        <f>COUNTIF(年間一覧表!$J$106:$P$111,LEFT(月別集計!G$103,1))</f>
        <v>0</v>
      </c>
      <c r="H105" s="22">
        <f>COUNTIF(年間一覧表!$J$106:$P$111,LEFT(月別集計!H$103,1))</f>
        <v>0</v>
      </c>
      <c r="I105" s="22">
        <f>COUNTIF(年間一覧表!$J$106:$P$111,LEFT(月別集計!I$103,1))</f>
        <v>0</v>
      </c>
      <c r="J105" s="22">
        <f>COUNTIF(年間一覧表!$J$106:$P$111,LEFT(月別集計!J$103,1))</f>
        <v>0</v>
      </c>
      <c r="K105" s="22">
        <f>COUNTIF(年間一覧表!$J$106:$P$111,LEFT(月別集計!K$103,1))</f>
        <v>0</v>
      </c>
      <c r="L105" s="22">
        <f>COUNTIF(年間一覧表!$J$106:$P$111,LEFT(月別集計!L$103,1))</f>
        <v>0</v>
      </c>
      <c r="M105" s="22">
        <f>COUNTIF(年間一覧表!$J$106:$P$111,LEFT(月別集計!M$103,1))</f>
        <v>0</v>
      </c>
      <c r="N105" s="22">
        <f>COUNTIF(年間一覧表!$J$106:$P$111,LEFT(月別集計!N$103,1))</f>
        <v>0</v>
      </c>
      <c r="O105" s="22">
        <f>COUNTIF(年間一覧表!$J$106:$P$111,LEFT(月別集計!O$103,1))</f>
        <v>0</v>
      </c>
      <c r="P105" s="28">
        <f t="shared" ref="P105:P108" si="58">SUM(C105:O105)</f>
        <v>0</v>
      </c>
      <c r="Q105" s="22">
        <f>COUNTIF(年間一覧表!$J$106:$P$111,LEFT(月別集計!Q$103,1))</f>
        <v>0</v>
      </c>
      <c r="R105" s="22">
        <f>COUNTIF(年間一覧表!$J$106:$P$111,RIGHT(月別集計!R$103,1))</f>
        <v>0</v>
      </c>
      <c r="S105" s="22">
        <f>COUNTIF(年間一覧表!$J$106:$P$111,LEFT(月別集計!S$103,1))</f>
        <v>0</v>
      </c>
      <c r="T105" s="22">
        <f>COUNTIF(年間一覧表!$J$106:$P$111,LEFT(月別集計!T$103,1))</f>
        <v>0</v>
      </c>
      <c r="U105" s="22">
        <f>COUNTIF(年間一覧表!$J$106:$P$111,LEFT(月別集計!U$103,1))</f>
        <v>0</v>
      </c>
      <c r="V105" s="30">
        <f t="shared" ref="V105:V108" si="59">SUM(Q105:U105)</f>
        <v>0</v>
      </c>
      <c r="W105" s="32">
        <f t="shared" ref="W105:W108" si="60">P105+V105</f>
        <v>0</v>
      </c>
      <c r="X105" s="22">
        <f>COUNTIF(年間一覧表!$J$106:$P$111,LEFT(月別集計!X$103,1))</f>
        <v>0</v>
      </c>
      <c r="Y105" s="22">
        <f>COUNTIF(年間一覧表!$J$106:$P$111,LEFT(月別集計!Y$103,1))</f>
        <v>0</v>
      </c>
      <c r="Z105" s="22">
        <f>COUNTIF(年間一覧表!$J$106:$P$111,LEFT(月別集計!Z$103,1))</f>
        <v>0</v>
      </c>
      <c r="AA105" s="22">
        <f>COUNTIF(年間一覧表!$J$106:$P$111,LEFT(月別集計!AA$103,1))</f>
        <v>0</v>
      </c>
      <c r="AB105" s="22">
        <f>COUNTIF(年間一覧表!$J$106:$P$111,LEFT(月別集計!AB$103,1))</f>
        <v>0</v>
      </c>
      <c r="AC105" s="34">
        <f t="shared" ref="AC105:AC108" si="61">SUM(W105:AB105)</f>
        <v>0</v>
      </c>
    </row>
    <row r="106" spans="1:29" x14ac:dyDescent="0.15">
      <c r="A106" s="57"/>
      <c r="B106" s="24" t="s">
        <v>36</v>
      </c>
      <c r="C106" s="22">
        <f>COUNTIF(年間一覧表!$Q$106:$W$111,LEFT(月別集計!C$103,1))</f>
        <v>0</v>
      </c>
      <c r="D106" s="22">
        <f>COUNTIF(年間一覧表!$Q$106:$W$111,LEFT(月別集計!D$103,1))</f>
        <v>0</v>
      </c>
      <c r="E106" s="22">
        <f>COUNTIF(年間一覧表!$Q$106:$W$111,LEFT(月別集計!E$103,1))</f>
        <v>0</v>
      </c>
      <c r="F106" s="22">
        <f>COUNTIF(年間一覧表!$Q$106:$W$111,LEFT(月別集計!F$103,1))</f>
        <v>0</v>
      </c>
      <c r="G106" s="22">
        <f>COUNTIF(年間一覧表!$Q$106:$W$111,LEFT(月別集計!G$103,1))</f>
        <v>0</v>
      </c>
      <c r="H106" s="22">
        <f>COUNTIF(年間一覧表!$Q$106:$W$111,LEFT(月別集計!H$103,1))</f>
        <v>0</v>
      </c>
      <c r="I106" s="22">
        <f>COUNTIF(年間一覧表!$Q$106:$W$111,LEFT(月別集計!I$103,1))</f>
        <v>0</v>
      </c>
      <c r="J106" s="22">
        <f>COUNTIF(年間一覧表!$Q$106:$W$111,LEFT(月別集計!J$103,1))</f>
        <v>0</v>
      </c>
      <c r="K106" s="22">
        <f>COUNTIF(年間一覧表!$Q$106:$W$111,LEFT(月別集計!K$103,1))</f>
        <v>0</v>
      </c>
      <c r="L106" s="22">
        <f>COUNTIF(年間一覧表!$Q$106:$W$111,LEFT(月別集計!L$103,1))</f>
        <v>0</v>
      </c>
      <c r="M106" s="22">
        <f>COUNTIF(年間一覧表!$Q$106:$W$111,LEFT(月別集計!M$103,1))</f>
        <v>0</v>
      </c>
      <c r="N106" s="22">
        <f>COUNTIF(年間一覧表!$Q$106:$W$111,LEFT(月別集計!N$103,1))</f>
        <v>0</v>
      </c>
      <c r="O106" s="22">
        <f>COUNTIF(年間一覧表!$Q$106:$W$111,LEFT(月別集計!O$103,1))</f>
        <v>0</v>
      </c>
      <c r="P106" s="28">
        <f t="shared" si="58"/>
        <v>0</v>
      </c>
      <c r="Q106" s="22">
        <f>COUNTIF(年間一覧表!$Q$106:$W$111,LEFT(月別集計!Q$103,1))</f>
        <v>0</v>
      </c>
      <c r="R106" s="22">
        <f>COUNTIF(年間一覧表!$Q$106:$W$111,RIGHT(月別集計!R$103,1))</f>
        <v>0</v>
      </c>
      <c r="S106" s="22">
        <f>COUNTIF(年間一覧表!$Q$106:$W$111,LEFT(月別集計!S$103,1))</f>
        <v>0</v>
      </c>
      <c r="T106" s="22">
        <f>COUNTIF(年間一覧表!$Q$106:$W$111,LEFT(月別集計!T$103,1))</f>
        <v>0</v>
      </c>
      <c r="U106" s="22">
        <f>COUNTIF(年間一覧表!$Q$106:$W$111,LEFT(月別集計!U$103,1))</f>
        <v>0</v>
      </c>
      <c r="V106" s="30">
        <f t="shared" si="59"/>
        <v>0</v>
      </c>
      <c r="W106" s="32">
        <f t="shared" si="60"/>
        <v>0</v>
      </c>
      <c r="X106" s="22">
        <f>COUNTIF(年間一覧表!$Q$106:$W$111,LEFT(月別集計!X$103,1))</f>
        <v>0</v>
      </c>
      <c r="Y106" s="22">
        <f>COUNTIF(年間一覧表!$Q$106:$W$111,LEFT(月別集計!Y$103,1))</f>
        <v>0</v>
      </c>
      <c r="Z106" s="22">
        <f>COUNTIF(年間一覧表!$Q$106:$W$111,LEFT(月別集計!Z$103,1))</f>
        <v>0</v>
      </c>
      <c r="AA106" s="22">
        <f>COUNTIF(年間一覧表!$Q$106:$W$111,LEFT(月別集計!AA$103,1))</f>
        <v>0</v>
      </c>
      <c r="AB106" s="22">
        <f>COUNTIF(年間一覧表!$Q$106:$W$111,LEFT(月別集計!AB$103,1))</f>
        <v>0</v>
      </c>
      <c r="AC106" s="34">
        <f t="shared" si="61"/>
        <v>0</v>
      </c>
    </row>
    <row r="107" spans="1:29" x14ac:dyDescent="0.15">
      <c r="A107" s="57"/>
      <c r="B107" s="24" t="s">
        <v>37</v>
      </c>
      <c r="C107" s="22">
        <f>COUNTIF(年間一覧表!$X$106:$AD$111,LEFT(月別集計!C$103,1))</f>
        <v>0</v>
      </c>
      <c r="D107" s="22">
        <f>COUNTIF(年間一覧表!$X$106:$AD$111,LEFT(月別集計!D$103,1))</f>
        <v>0</v>
      </c>
      <c r="E107" s="22">
        <f>COUNTIF(年間一覧表!$X$106:$AD$111,LEFT(月別集計!E$103,1))</f>
        <v>0</v>
      </c>
      <c r="F107" s="22">
        <f>COUNTIF(年間一覧表!$X$106:$AD$111,LEFT(月別集計!F$103,1))</f>
        <v>0</v>
      </c>
      <c r="G107" s="22">
        <f>COUNTIF(年間一覧表!$X$106:$AD$111,LEFT(月別集計!G$103,1))</f>
        <v>0</v>
      </c>
      <c r="H107" s="22">
        <f>COUNTIF(年間一覧表!$X$106:$AD$111,LEFT(月別集計!H$103,1))</f>
        <v>0</v>
      </c>
      <c r="I107" s="22">
        <f>COUNTIF(年間一覧表!$X$106:$AD$111,LEFT(月別集計!I$103,1))</f>
        <v>0</v>
      </c>
      <c r="J107" s="22">
        <f>COUNTIF(年間一覧表!$X$106:$AD$111,LEFT(月別集計!J$103,1))</f>
        <v>0</v>
      </c>
      <c r="K107" s="22">
        <f>COUNTIF(年間一覧表!$X$106:$AD$111,LEFT(月別集計!K$103,1))</f>
        <v>0</v>
      </c>
      <c r="L107" s="22">
        <f>COUNTIF(年間一覧表!$X$106:$AD$111,LEFT(月別集計!L$103,1))</f>
        <v>0</v>
      </c>
      <c r="M107" s="22">
        <f>COUNTIF(年間一覧表!$X$106:$AD$111,LEFT(月別集計!M$103,1))</f>
        <v>0</v>
      </c>
      <c r="N107" s="22">
        <f>COUNTIF(年間一覧表!$X$106:$AD$111,LEFT(月別集計!N$103,1))</f>
        <v>0</v>
      </c>
      <c r="O107" s="22">
        <f>COUNTIF(年間一覧表!$X$106:$AD$111,LEFT(月別集計!O$103,1))</f>
        <v>0</v>
      </c>
      <c r="P107" s="28">
        <f t="shared" si="58"/>
        <v>0</v>
      </c>
      <c r="Q107" s="22">
        <f>COUNTIF(年間一覧表!$X$106:$AD$111,LEFT(月別集計!Q$103,1))</f>
        <v>0</v>
      </c>
      <c r="R107" s="22">
        <f>COUNTIF(年間一覧表!$X$106:$AD$111,RIGHT(月別集計!R$103,1))</f>
        <v>0</v>
      </c>
      <c r="S107" s="22">
        <f>COUNTIF(年間一覧表!$X$106:$AD$111,LEFT(月別集計!S$103,1))</f>
        <v>0</v>
      </c>
      <c r="T107" s="22">
        <f>COUNTIF(年間一覧表!$X$106:$AD$111,LEFT(月別集計!T$103,1))</f>
        <v>0</v>
      </c>
      <c r="U107" s="22">
        <f>COUNTIF(年間一覧表!$X$106:$AD$111,LEFT(月別集計!U$103,1))</f>
        <v>0</v>
      </c>
      <c r="V107" s="30">
        <f t="shared" si="59"/>
        <v>0</v>
      </c>
      <c r="W107" s="32">
        <f t="shared" si="60"/>
        <v>0</v>
      </c>
      <c r="X107" s="22">
        <f>COUNTIF(年間一覧表!$X$106:$AD$111,LEFT(月別集計!X$103,1))</f>
        <v>0</v>
      </c>
      <c r="Y107" s="22">
        <f>COUNTIF(年間一覧表!$X$106:$AD$111,LEFT(月別集計!Y$103,1))</f>
        <v>0</v>
      </c>
      <c r="Z107" s="22">
        <f>COUNTIF(年間一覧表!$X$106:$AD$111,LEFT(月別集計!Z$103,1))</f>
        <v>0</v>
      </c>
      <c r="AA107" s="22">
        <f>COUNTIF(年間一覧表!$X$106:$AD$111,LEFT(月別集計!AA$103,1))</f>
        <v>0</v>
      </c>
      <c r="AB107" s="22">
        <f>COUNTIF(年間一覧表!$X$106:$AD$111,LEFT(月別集計!AB$103,1))</f>
        <v>0</v>
      </c>
      <c r="AC107" s="34">
        <f t="shared" si="61"/>
        <v>0</v>
      </c>
    </row>
    <row r="108" spans="1:29" x14ac:dyDescent="0.15">
      <c r="A108" s="57"/>
      <c r="B108" s="24" t="s">
        <v>38</v>
      </c>
      <c r="C108" s="22">
        <f>COUNTIF(年間一覧表!$AE$106:$AK$111,LEFT(月別集計!C$103,1))</f>
        <v>0</v>
      </c>
      <c r="D108" s="22">
        <f>COUNTIF(年間一覧表!$AE$106:$AK$111,LEFT(月別集計!D$103,1))</f>
        <v>0</v>
      </c>
      <c r="E108" s="22">
        <f>COUNTIF(年間一覧表!$AE$106:$AK$111,LEFT(月別集計!E$103,1))</f>
        <v>0</v>
      </c>
      <c r="F108" s="22">
        <f>COUNTIF(年間一覧表!$AE$106:$AK$111,LEFT(月別集計!F$103,1))</f>
        <v>0</v>
      </c>
      <c r="G108" s="22">
        <f>COUNTIF(年間一覧表!$AE$106:$AK$111,LEFT(月別集計!G$103,1))</f>
        <v>0</v>
      </c>
      <c r="H108" s="22">
        <f>COUNTIF(年間一覧表!$AE$106:$AK$111,LEFT(月別集計!H$103,1))</f>
        <v>0</v>
      </c>
      <c r="I108" s="22">
        <f>COUNTIF(年間一覧表!$AE$106:$AK$111,LEFT(月別集計!I$103,1))</f>
        <v>0</v>
      </c>
      <c r="J108" s="22">
        <f>COUNTIF(年間一覧表!$AE$106:$AK$111,LEFT(月別集計!J$103,1))</f>
        <v>0</v>
      </c>
      <c r="K108" s="22">
        <f>COUNTIF(年間一覧表!$AE$106:$AK$111,LEFT(月別集計!K$103,1))</f>
        <v>0</v>
      </c>
      <c r="L108" s="22">
        <f>COUNTIF(年間一覧表!$AE$106:$AK$111,LEFT(月別集計!L$103,1))</f>
        <v>0</v>
      </c>
      <c r="M108" s="22">
        <f>COUNTIF(年間一覧表!$AE$106:$AK$111,LEFT(月別集計!M$103,1))</f>
        <v>0</v>
      </c>
      <c r="N108" s="22">
        <f>COUNTIF(年間一覧表!$AE$106:$AK$111,LEFT(月別集計!N$103,1))</f>
        <v>0</v>
      </c>
      <c r="O108" s="22">
        <f>COUNTIF(年間一覧表!$AE$106:$AK$111,LEFT(月別集計!O$103,1))</f>
        <v>0</v>
      </c>
      <c r="P108" s="28">
        <f t="shared" si="58"/>
        <v>0</v>
      </c>
      <c r="Q108" s="22">
        <f>COUNTIF(年間一覧表!$AE$106:$AK$111,LEFT(月別集計!Q$103,1))</f>
        <v>0</v>
      </c>
      <c r="R108" s="22">
        <f>COUNTIF(年間一覧表!$AE$106:$AK$111,RIGHT(月別集計!R$103,1))</f>
        <v>0</v>
      </c>
      <c r="S108" s="22">
        <f>COUNTIF(年間一覧表!$AE$106:$AK$111,LEFT(月別集計!S$103,1))</f>
        <v>0</v>
      </c>
      <c r="T108" s="22">
        <f>COUNTIF(年間一覧表!$AE$106:$AK$111,LEFT(月別集計!T$103,1))</f>
        <v>0</v>
      </c>
      <c r="U108" s="22">
        <f>COUNTIF(年間一覧表!$AE$106:$AK$111,LEFT(月別集計!U$103,1))</f>
        <v>0</v>
      </c>
      <c r="V108" s="30">
        <f t="shared" si="59"/>
        <v>0</v>
      </c>
      <c r="W108" s="32">
        <f t="shared" si="60"/>
        <v>0</v>
      </c>
      <c r="X108" s="22">
        <f>COUNTIF(年間一覧表!$AE$106:$AK$111,LEFT(月別集計!X$103,1))</f>
        <v>0</v>
      </c>
      <c r="Y108" s="22">
        <f>COUNTIF(年間一覧表!$AE$106:$AK$111,LEFT(月別集計!Y$103,1))</f>
        <v>0</v>
      </c>
      <c r="Z108" s="22">
        <f>COUNTIF(年間一覧表!$AE$106:$AK$111,LEFT(月別集計!Z$103,1))</f>
        <v>0</v>
      </c>
      <c r="AA108" s="22">
        <f>COUNTIF(年間一覧表!$AE$106:$AK$111,LEFT(月別集計!AA$103,1))</f>
        <v>0</v>
      </c>
      <c r="AB108" s="22">
        <f>COUNTIF(年間一覧表!$AE$106:$AK$111,LEFT(月別集計!AB$103,1))</f>
        <v>0</v>
      </c>
      <c r="AC108" s="34">
        <f t="shared" si="61"/>
        <v>0</v>
      </c>
    </row>
    <row r="109" spans="1:29" x14ac:dyDescent="0.15">
      <c r="A109" s="58"/>
      <c r="B109" s="24" t="s">
        <v>40</v>
      </c>
      <c r="C109" s="26">
        <f t="shared" ref="C109:AC109" si="62">SUM(C104:C108)</f>
        <v>0</v>
      </c>
      <c r="D109" s="26">
        <f t="shared" si="62"/>
        <v>0</v>
      </c>
      <c r="E109" s="26">
        <f t="shared" si="62"/>
        <v>0</v>
      </c>
      <c r="F109" s="26">
        <f t="shared" si="62"/>
        <v>0</v>
      </c>
      <c r="G109" s="26">
        <f t="shared" si="62"/>
        <v>0</v>
      </c>
      <c r="H109" s="26">
        <f t="shared" si="62"/>
        <v>0</v>
      </c>
      <c r="I109" s="26">
        <f t="shared" si="62"/>
        <v>0</v>
      </c>
      <c r="J109" s="26">
        <f t="shared" si="62"/>
        <v>0</v>
      </c>
      <c r="K109" s="26">
        <f t="shared" si="62"/>
        <v>0</v>
      </c>
      <c r="L109" s="26">
        <f t="shared" si="62"/>
        <v>0</v>
      </c>
      <c r="M109" s="26">
        <f t="shared" si="62"/>
        <v>0</v>
      </c>
      <c r="N109" s="26">
        <f t="shared" si="62"/>
        <v>0</v>
      </c>
      <c r="O109" s="26">
        <f t="shared" si="62"/>
        <v>0</v>
      </c>
      <c r="P109" s="28">
        <f t="shared" si="62"/>
        <v>0</v>
      </c>
      <c r="Q109" s="26">
        <f t="shared" si="62"/>
        <v>0</v>
      </c>
      <c r="R109" s="26">
        <f t="shared" si="62"/>
        <v>0</v>
      </c>
      <c r="S109" s="26">
        <f t="shared" si="62"/>
        <v>0</v>
      </c>
      <c r="T109" s="26">
        <f t="shared" si="62"/>
        <v>0</v>
      </c>
      <c r="U109" s="26">
        <f t="shared" si="62"/>
        <v>0</v>
      </c>
      <c r="V109" s="30">
        <f t="shared" si="62"/>
        <v>0</v>
      </c>
      <c r="W109" s="32">
        <f t="shared" si="62"/>
        <v>0</v>
      </c>
      <c r="X109" s="26">
        <f t="shared" si="62"/>
        <v>0</v>
      </c>
      <c r="Y109" s="26">
        <f t="shared" si="62"/>
        <v>0</v>
      </c>
      <c r="Z109" s="26">
        <f t="shared" si="62"/>
        <v>0</v>
      </c>
      <c r="AA109" s="26">
        <f t="shared" si="62"/>
        <v>0</v>
      </c>
      <c r="AB109" s="26">
        <f t="shared" ref="AB109" si="63">SUM(AB104:AB108)</f>
        <v>0</v>
      </c>
      <c r="AC109" s="34">
        <f t="shared" si="62"/>
        <v>0</v>
      </c>
    </row>
    <row r="111" spans="1:29" x14ac:dyDescent="0.15">
      <c r="A111" s="56" t="s">
        <v>78</v>
      </c>
      <c r="B111" s="24"/>
      <c r="C111" s="59" t="s">
        <v>41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1"/>
      <c r="Q111" s="62" t="s">
        <v>51</v>
      </c>
      <c r="R111" s="62"/>
      <c r="S111" s="62"/>
      <c r="T111" s="62"/>
      <c r="U111" s="62"/>
      <c r="V111" s="62"/>
      <c r="W111" s="31"/>
      <c r="X111" s="53" t="s">
        <v>53</v>
      </c>
      <c r="Y111" s="54"/>
      <c r="Z111" s="54"/>
      <c r="AA111" s="54"/>
      <c r="AB111" s="55"/>
      <c r="AC111" s="34"/>
    </row>
    <row r="112" spans="1:29" x14ac:dyDescent="0.15">
      <c r="A112" s="57"/>
      <c r="B112" s="24"/>
      <c r="C112" s="24" t="s">
        <v>8</v>
      </c>
      <c r="D112" s="24" t="s">
        <v>10</v>
      </c>
      <c r="E112" s="24" t="s">
        <v>11</v>
      </c>
      <c r="F112" s="24" t="s">
        <v>12</v>
      </c>
      <c r="G112" s="24" t="s">
        <v>13</v>
      </c>
      <c r="H112" s="24" t="s">
        <v>14</v>
      </c>
      <c r="I112" s="24" t="s">
        <v>15</v>
      </c>
      <c r="J112" s="24" t="s">
        <v>17</v>
      </c>
      <c r="K112" s="24" t="s">
        <v>16</v>
      </c>
      <c r="L112" s="24" t="s">
        <v>19</v>
      </c>
      <c r="M112" s="24" t="s">
        <v>20</v>
      </c>
      <c r="N112" s="24" t="s">
        <v>18</v>
      </c>
      <c r="O112" s="24" t="s">
        <v>34</v>
      </c>
      <c r="P112" s="27" t="s">
        <v>40</v>
      </c>
      <c r="Q112" s="24" t="s">
        <v>42</v>
      </c>
      <c r="R112" s="24" t="s">
        <v>43</v>
      </c>
      <c r="S112" s="24" t="s">
        <v>44</v>
      </c>
      <c r="T112" s="24" t="s">
        <v>45</v>
      </c>
      <c r="U112" s="24" t="s">
        <v>46</v>
      </c>
      <c r="V112" s="29" t="s">
        <v>52</v>
      </c>
      <c r="W112" s="31" t="s">
        <v>73</v>
      </c>
      <c r="X112" s="24" t="s">
        <v>21</v>
      </c>
      <c r="Y112" s="24" t="s">
        <v>69</v>
      </c>
      <c r="Z112" s="24" t="s">
        <v>70</v>
      </c>
      <c r="AA112" s="24" t="s">
        <v>53</v>
      </c>
      <c r="AB112" s="50" t="s">
        <v>109</v>
      </c>
      <c r="AC112" s="33" t="s">
        <v>50</v>
      </c>
    </row>
    <row r="113" spans="1:29" x14ac:dyDescent="0.15">
      <c r="A113" s="57"/>
      <c r="B113" s="24" t="s">
        <v>33</v>
      </c>
      <c r="C113" s="22">
        <f>COUNTIF(年間一覧表!$C$116:$I$121,LEFT(月別集計!C$112,1))</f>
        <v>0</v>
      </c>
      <c r="D113" s="22">
        <f>COUNTIF(年間一覧表!$C$116:$I$121,LEFT(月別集計!D$112,1))</f>
        <v>0</v>
      </c>
      <c r="E113" s="22">
        <f>COUNTIF(年間一覧表!$C$116:$I$121,LEFT(月別集計!E$112,1))</f>
        <v>0</v>
      </c>
      <c r="F113" s="22">
        <f>COUNTIF(年間一覧表!$C$116:$I$121,LEFT(月別集計!F$112,1))</f>
        <v>0</v>
      </c>
      <c r="G113" s="22">
        <f>COUNTIF(年間一覧表!$C$116:$I$121,LEFT(月別集計!G$112,1))</f>
        <v>0</v>
      </c>
      <c r="H113" s="22">
        <f>COUNTIF(年間一覧表!$C$116:$I$121,LEFT(月別集計!H$112,1))</f>
        <v>0</v>
      </c>
      <c r="I113" s="22">
        <f>COUNTIF(年間一覧表!$C$116:$I$121,LEFT(月別集計!I$112,1))</f>
        <v>0</v>
      </c>
      <c r="J113" s="22">
        <f>COUNTIF(年間一覧表!$C$116:$I$121,LEFT(月別集計!J$112,1))</f>
        <v>0</v>
      </c>
      <c r="K113" s="22">
        <f>COUNTIF(年間一覧表!$C$116:$I$121,LEFT(月別集計!K$112,1))</f>
        <v>0</v>
      </c>
      <c r="L113" s="22">
        <f>COUNTIF(年間一覧表!$C$116:$I$121,LEFT(月別集計!L$112,1))</f>
        <v>0</v>
      </c>
      <c r="M113" s="22">
        <f>COUNTIF(年間一覧表!$C$116:$I$121,LEFT(月別集計!M$112,1))</f>
        <v>0</v>
      </c>
      <c r="N113" s="22">
        <f>COUNTIF(年間一覧表!$C$116:$I$121,LEFT(月別集計!N$112,1))</f>
        <v>0</v>
      </c>
      <c r="O113" s="22">
        <f>COUNTIF(年間一覧表!$C$116:$I$121,LEFT(月別集計!O$112,1))</f>
        <v>0</v>
      </c>
      <c r="P113" s="28">
        <f>SUM(C113:O113)</f>
        <v>0</v>
      </c>
      <c r="Q113" s="22">
        <f>COUNTIF(年間一覧表!$C$116:$I$121,LEFT(月別集計!Q$112,1))</f>
        <v>0</v>
      </c>
      <c r="R113" s="22">
        <f>COUNTIF(年間一覧表!$C$116:$I$121,RIGHT(月別集計!R$112,1))</f>
        <v>0</v>
      </c>
      <c r="S113" s="22">
        <f>COUNTIF(年間一覧表!$C$116:$I$121,LEFT(月別集計!S$112,1))</f>
        <v>0</v>
      </c>
      <c r="T113" s="22">
        <f>COUNTIF(年間一覧表!$C$116:$I$121,LEFT(月別集計!T$112,1))</f>
        <v>0</v>
      </c>
      <c r="U113" s="22">
        <f>COUNTIF(年間一覧表!$C$116:$I$121,LEFT(月別集計!U$112,1))</f>
        <v>0</v>
      </c>
      <c r="V113" s="30">
        <f>SUM(Q113:U113)</f>
        <v>0</v>
      </c>
      <c r="W113" s="32">
        <f>P113+V113</f>
        <v>0</v>
      </c>
      <c r="X113" s="22">
        <f>COUNTIF(年間一覧表!$C$116:$I$121,LEFT(月別集計!X$112,1))</f>
        <v>0</v>
      </c>
      <c r="Y113" s="22">
        <f>COUNTIF(年間一覧表!$C$116:$I$121,LEFT(月別集計!Y$112,1))</f>
        <v>0</v>
      </c>
      <c r="Z113" s="22">
        <f>COUNTIF(年間一覧表!$C$116:$I$121,LEFT(月別集計!Z$112,1))</f>
        <v>0</v>
      </c>
      <c r="AA113" s="22">
        <f>COUNTIF(年間一覧表!$C$116:$I$121,LEFT(月別集計!AA$112,1))</f>
        <v>0</v>
      </c>
      <c r="AB113" s="22">
        <f>COUNTIF(年間一覧表!$C$116:$I$121,LEFT(月別集計!AB$112,1))</f>
        <v>0</v>
      </c>
      <c r="AC113" s="34">
        <f>SUM(W113:AB113)</f>
        <v>0</v>
      </c>
    </row>
    <row r="114" spans="1:29" x14ac:dyDescent="0.15">
      <c r="A114" s="57"/>
      <c r="B114" s="24" t="s">
        <v>35</v>
      </c>
      <c r="C114" s="22">
        <f>COUNTIF(年間一覧表!$J$116:$P$121,LEFT(月別集計!C$112,1))</f>
        <v>0</v>
      </c>
      <c r="D114" s="22">
        <f>COUNTIF(年間一覧表!$J$116:$P$121,LEFT(月別集計!D$112,1))</f>
        <v>0</v>
      </c>
      <c r="E114" s="22">
        <f>COUNTIF(年間一覧表!$J$116:$P$121,LEFT(月別集計!E$112,1))</f>
        <v>0</v>
      </c>
      <c r="F114" s="22">
        <f>COUNTIF(年間一覧表!$J$116:$P$121,LEFT(月別集計!F$112,1))</f>
        <v>0</v>
      </c>
      <c r="G114" s="22">
        <f>COUNTIF(年間一覧表!$J$116:$P$121,LEFT(月別集計!G$112,1))</f>
        <v>0</v>
      </c>
      <c r="H114" s="22">
        <f>COUNTIF(年間一覧表!$J$116:$P$121,LEFT(月別集計!H$112,1))</f>
        <v>0</v>
      </c>
      <c r="I114" s="22">
        <f>COUNTIF(年間一覧表!$J$116:$P$121,LEFT(月別集計!I$112,1))</f>
        <v>0</v>
      </c>
      <c r="J114" s="22">
        <f>COUNTIF(年間一覧表!$J$116:$P$121,LEFT(月別集計!J$112,1))</f>
        <v>0</v>
      </c>
      <c r="K114" s="22">
        <f>COUNTIF(年間一覧表!$J$116:$P$121,LEFT(月別集計!K$112,1))</f>
        <v>0</v>
      </c>
      <c r="L114" s="22">
        <f>COUNTIF(年間一覧表!$J$116:$P$121,LEFT(月別集計!L$112,1))</f>
        <v>0</v>
      </c>
      <c r="M114" s="22">
        <f>COUNTIF(年間一覧表!$J$116:$P$121,LEFT(月別集計!M$112,1))</f>
        <v>0</v>
      </c>
      <c r="N114" s="22">
        <f>COUNTIF(年間一覧表!$J$116:$P$121,LEFT(月別集計!N$112,1))</f>
        <v>0</v>
      </c>
      <c r="O114" s="22">
        <f>COUNTIF(年間一覧表!$J$116:$P$121,LEFT(月別集計!O$112,1))</f>
        <v>0</v>
      </c>
      <c r="P114" s="28">
        <f t="shared" ref="P114:P118" si="64">SUM(C114:O114)</f>
        <v>0</v>
      </c>
      <c r="Q114" s="22">
        <f>COUNTIF(年間一覧表!$J$116:$P$121,LEFT(月別集計!Q$112,1))</f>
        <v>0</v>
      </c>
      <c r="R114" s="22">
        <f>COUNTIF(年間一覧表!$J$116:$P$121,RIGHT(月別集計!R$112,1))</f>
        <v>0</v>
      </c>
      <c r="S114" s="22">
        <f>COUNTIF(年間一覧表!$J$116:$P$121,LEFT(月別集計!S$112,1))</f>
        <v>0</v>
      </c>
      <c r="T114" s="22">
        <f>COUNTIF(年間一覧表!$J$116:$P$121,LEFT(月別集計!T$112,1))</f>
        <v>0</v>
      </c>
      <c r="U114" s="22">
        <f>COUNTIF(年間一覧表!$J$116:$P$121,LEFT(月別集計!U$112,1))</f>
        <v>0</v>
      </c>
      <c r="V114" s="30">
        <f t="shared" ref="V114:V118" si="65">SUM(Q114:U114)</f>
        <v>0</v>
      </c>
      <c r="W114" s="32">
        <f t="shared" ref="W114:W118" si="66">P114+V114</f>
        <v>0</v>
      </c>
      <c r="X114" s="22">
        <f>COUNTIF(年間一覧表!$J$116:$P$121,LEFT(月別集計!X$112,1))</f>
        <v>0</v>
      </c>
      <c r="Y114" s="22">
        <f>COUNTIF(年間一覧表!$J$116:$P$121,LEFT(月別集計!Y$112,1))</f>
        <v>0</v>
      </c>
      <c r="Z114" s="22">
        <f>COUNTIF(年間一覧表!$J$116:$P$121,LEFT(月別集計!Z$112,1))</f>
        <v>0</v>
      </c>
      <c r="AA114" s="22">
        <f>COUNTIF(年間一覧表!$J$116:$P$121,LEFT(月別集計!AA$112,1))</f>
        <v>0</v>
      </c>
      <c r="AB114" s="22">
        <f>COUNTIF(年間一覧表!$J$116:$P$121,LEFT(月別集計!AB$112,1))</f>
        <v>0</v>
      </c>
      <c r="AC114" s="34">
        <f t="shared" ref="AC114:AC118" si="67">SUM(W114:AB114)</f>
        <v>0</v>
      </c>
    </row>
    <row r="115" spans="1:29" x14ac:dyDescent="0.15">
      <c r="A115" s="57"/>
      <c r="B115" s="24" t="s">
        <v>36</v>
      </c>
      <c r="C115" s="22">
        <f>COUNTIF(年間一覧表!$Q$116:$W$121,LEFT(月別集計!C$112,1))</f>
        <v>0</v>
      </c>
      <c r="D115" s="22">
        <f>COUNTIF(年間一覧表!$Q$116:$W$121,LEFT(月別集計!D$112,1))</f>
        <v>0</v>
      </c>
      <c r="E115" s="22">
        <f>COUNTIF(年間一覧表!$Q$116:$W$121,LEFT(月別集計!E$112,1))</f>
        <v>0</v>
      </c>
      <c r="F115" s="22">
        <f>COUNTIF(年間一覧表!$Q$116:$W$121,LEFT(月別集計!F$112,1))</f>
        <v>0</v>
      </c>
      <c r="G115" s="22">
        <f>COUNTIF(年間一覧表!$Q$116:$W$121,LEFT(月別集計!G$112,1))</f>
        <v>0</v>
      </c>
      <c r="H115" s="22">
        <f>COUNTIF(年間一覧表!$Q$116:$W$121,LEFT(月別集計!H$112,1))</f>
        <v>0</v>
      </c>
      <c r="I115" s="22">
        <f>COUNTIF(年間一覧表!$Q$116:$W$121,LEFT(月別集計!I$112,1))</f>
        <v>0</v>
      </c>
      <c r="J115" s="22">
        <f>COUNTIF(年間一覧表!$Q$116:$W$121,LEFT(月別集計!J$112,1))</f>
        <v>0</v>
      </c>
      <c r="K115" s="22">
        <f>COUNTIF(年間一覧表!$Q$116:$W$121,LEFT(月別集計!K$112,1))</f>
        <v>0</v>
      </c>
      <c r="L115" s="22">
        <f>COUNTIF(年間一覧表!$Q$116:$W$121,LEFT(月別集計!L$112,1))</f>
        <v>0</v>
      </c>
      <c r="M115" s="22">
        <f>COUNTIF(年間一覧表!$Q$116:$W$121,LEFT(月別集計!M$112,1))</f>
        <v>0</v>
      </c>
      <c r="N115" s="22">
        <f>COUNTIF(年間一覧表!$Q$116:$W$121,LEFT(月別集計!N$112,1))</f>
        <v>0</v>
      </c>
      <c r="O115" s="22">
        <f>COUNTIF(年間一覧表!$Q$116:$W$121,LEFT(月別集計!O$112,1))</f>
        <v>0</v>
      </c>
      <c r="P115" s="28">
        <f t="shared" si="64"/>
        <v>0</v>
      </c>
      <c r="Q115" s="22">
        <f>COUNTIF(年間一覧表!$Q$116:$W$121,LEFT(月別集計!Q$112,1))</f>
        <v>0</v>
      </c>
      <c r="R115" s="22">
        <f>COUNTIF(年間一覧表!$Q$116:$W$121,RIGHT(月別集計!R$112,1))</f>
        <v>0</v>
      </c>
      <c r="S115" s="22">
        <f>COUNTIF(年間一覧表!$Q$116:$W$121,LEFT(月別集計!S$112,1))</f>
        <v>0</v>
      </c>
      <c r="T115" s="22">
        <f>COUNTIF(年間一覧表!$Q$116:$W$121,LEFT(月別集計!T$112,1))</f>
        <v>0</v>
      </c>
      <c r="U115" s="22">
        <f>COUNTIF(年間一覧表!$Q$116:$W$121,LEFT(月別集計!U$112,1))</f>
        <v>0</v>
      </c>
      <c r="V115" s="30">
        <f t="shared" si="65"/>
        <v>0</v>
      </c>
      <c r="W115" s="32">
        <f t="shared" si="66"/>
        <v>0</v>
      </c>
      <c r="X115" s="22">
        <f>COUNTIF(年間一覧表!$Q$116:$W$121,LEFT(月別集計!X$112,1))</f>
        <v>0</v>
      </c>
      <c r="Y115" s="22">
        <f>COUNTIF(年間一覧表!$Q$116:$W$121,LEFT(月別集計!Y$112,1))</f>
        <v>0</v>
      </c>
      <c r="Z115" s="22">
        <f>COUNTIF(年間一覧表!$Q$116:$W$121,LEFT(月別集計!Z$112,1))</f>
        <v>0</v>
      </c>
      <c r="AA115" s="22">
        <f>COUNTIF(年間一覧表!$Q$116:$W$121,LEFT(月別集計!AA$112,1))</f>
        <v>0</v>
      </c>
      <c r="AB115" s="22">
        <f>COUNTIF(年間一覧表!$Q$116:$W$121,LEFT(月別集計!AB$112,1))</f>
        <v>0</v>
      </c>
      <c r="AC115" s="34">
        <f t="shared" si="67"/>
        <v>0</v>
      </c>
    </row>
    <row r="116" spans="1:29" x14ac:dyDescent="0.15">
      <c r="A116" s="57"/>
      <c r="B116" s="24" t="s">
        <v>37</v>
      </c>
      <c r="C116" s="22">
        <f>COUNTIF(年間一覧表!$X$116:$AD$121,LEFT(月別集計!C$112,1))</f>
        <v>0</v>
      </c>
      <c r="D116" s="22">
        <f>COUNTIF(年間一覧表!$X$116:$AD$121,LEFT(月別集計!D$112,1))</f>
        <v>0</v>
      </c>
      <c r="E116" s="22">
        <f>COUNTIF(年間一覧表!$X$116:$AD$121,LEFT(月別集計!E$112,1))</f>
        <v>0</v>
      </c>
      <c r="F116" s="22">
        <f>COUNTIF(年間一覧表!$X$116:$AD$121,LEFT(月別集計!F$112,1))</f>
        <v>0</v>
      </c>
      <c r="G116" s="22">
        <f>COUNTIF(年間一覧表!$X$116:$AD$121,LEFT(月別集計!G$112,1))</f>
        <v>0</v>
      </c>
      <c r="H116" s="22">
        <f>COUNTIF(年間一覧表!$X$116:$AD$121,LEFT(月別集計!H$112,1))</f>
        <v>0</v>
      </c>
      <c r="I116" s="22">
        <f>COUNTIF(年間一覧表!$X$116:$AD$121,LEFT(月別集計!I$112,1))</f>
        <v>0</v>
      </c>
      <c r="J116" s="22">
        <f>COUNTIF(年間一覧表!$X$116:$AD$121,LEFT(月別集計!J$112,1))</f>
        <v>0</v>
      </c>
      <c r="K116" s="22">
        <f>COUNTIF(年間一覧表!$X$116:$AD$121,LEFT(月別集計!K$112,1))</f>
        <v>0</v>
      </c>
      <c r="L116" s="22">
        <f>COUNTIF(年間一覧表!$X$116:$AD$121,LEFT(月別集計!L$112,1))</f>
        <v>0</v>
      </c>
      <c r="M116" s="22">
        <f>COUNTIF(年間一覧表!$X$116:$AD$121,LEFT(月別集計!M$112,1))</f>
        <v>0</v>
      </c>
      <c r="N116" s="22">
        <f>COUNTIF(年間一覧表!$X$116:$AD$121,LEFT(月別集計!N$112,1))</f>
        <v>0</v>
      </c>
      <c r="O116" s="22">
        <f>COUNTIF(年間一覧表!$X$116:$AD$121,LEFT(月別集計!O$112,1))</f>
        <v>0</v>
      </c>
      <c r="P116" s="28">
        <f t="shared" si="64"/>
        <v>0</v>
      </c>
      <c r="Q116" s="22">
        <f>COUNTIF(年間一覧表!$X$116:$AD$121,LEFT(月別集計!Q$112,1))</f>
        <v>0</v>
      </c>
      <c r="R116" s="22">
        <f>COUNTIF(年間一覧表!$X$116:$AD$121,RIGHT(月別集計!R$112,1))</f>
        <v>0</v>
      </c>
      <c r="S116" s="22">
        <f>COUNTIF(年間一覧表!$X$116:$AD$121,LEFT(月別集計!S$112,1))</f>
        <v>0</v>
      </c>
      <c r="T116" s="22">
        <f>COUNTIF(年間一覧表!$X$116:$AD$121,LEFT(月別集計!T$112,1))</f>
        <v>0</v>
      </c>
      <c r="U116" s="22">
        <f>COUNTIF(年間一覧表!$X$116:$AD$121,LEFT(月別集計!U$112,1))</f>
        <v>0</v>
      </c>
      <c r="V116" s="30">
        <f t="shared" si="65"/>
        <v>0</v>
      </c>
      <c r="W116" s="32">
        <f t="shared" si="66"/>
        <v>0</v>
      </c>
      <c r="X116" s="22">
        <f>COUNTIF(年間一覧表!$X$116:$AD$121,LEFT(月別集計!X$112,1))</f>
        <v>0</v>
      </c>
      <c r="Y116" s="22">
        <f>COUNTIF(年間一覧表!$X$116:$AD$121,LEFT(月別集計!Y$112,1))</f>
        <v>0</v>
      </c>
      <c r="Z116" s="22">
        <f>COUNTIF(年間一覧表!$X$116:$AD$121,LEFT(月別集計!Z$112,1))</f>
        <v>0</v>
      </c>
      <c r="AA116" s="22">
        <f>COUNTIF(年間一覧表!$X$116:$AD$121,LEFT(月別集計!AA$112,1))</f>
        <v>0</v>
      </c>
      <c r="AB116" s="22">
        <f>COUNTIF(年間一覧表!$X$116:$AD$121,LEFT(月別集計!AB$112,1))</f>
        <v>0</v>
      </c>
      <c r="AC116" s="34">
        <f t="shared" si="67"/>
        <v>0</v>
      </c>
    </row>
    <row r="117" spans="1:29" x14ac:dyDescent="0.15">
      <c r="A117" s="57"/>
      <c r="B117" s="24" t="s">
        <v>38</v>
      </c>
      <c r="C117" s="22">
        <f>COUNTIF(年間一覧表!$AE$116:$AK$121,LEFT(月別集計!C$112,1))</f>
        <v>0</v>
      </c>
      <c r="D117" s="22">
        <f>COUNTIF(年間一覧表!$AE$116:$AK$121,LEFT(月別集計!D$112,1))</f>
        <v>0</v>
      </c>
      <c r="E117" s="22">
        <f>COUNTIF(年間一覧表!$AE$116:$AK$121,LEFT(月別集計!E$112,1))</f>
        <v>0</v>
      </c>
      <c r="F117" s="22">
        <f>COUNTIF(年間一覧表!$AE$116:$AK$121,LEFT(月別集計!F$112,1))</f>
        <v>0</v>
      </c>
      <c r="G117" s="22">
        <f>COUNTIF(年間一覧表!$AE$116:$AK$121,LEFT(月別集計!G$112,1))</f>
        <v>0</v>
      </c>
      <c r="H117" s="22">
        <f>COUNTIF(年間一覧表!$AE$116:$AK$121,LEFT(月別集計!H$112,1))</f>
        <v>0</v>
      </c>
      <c r="I117" s="22">
        <f>COUNTIF(年間一覧表!$AE$116:$AK$121,LEFT(月別集計!I$112,1))</f>
        <v>0</v>
      </c>
      <c r="J117" s="22">
        <f>COUNTIF(年間一覧表!$AE$116:$AK$121,LEFT(月別集計!J$112,1))</f>
        <v>0</v>
      </c>
      <c r="K117" s="22">
        <f>COUNTIF(年間一覧表!$AE$116:$AK$121,LEFT(月別集計!K$112,1))</f>
        <v>0</v>
      </c>
      <c r="L117" s="22">
        <f>COUNTIF(年間一覧表!$AE$116:$AK$121,LEFT(月別集計!L$112,1))</f>
        <v>0</v>
      </c>
      <c r="M117" s="22">
        <f>COUNTIF(年間一覧表!$AE$116:$AK$121,LEFT(月別集計!M$112,1))</f>
        <v>0</v>
      </c>
      <c r="N117" s="22">
        <f>COUNTIF(年間一覧表!$AE$116:$AK$121,LEFT(月別集計!N$112,1))</f>
        <v>0</v>
      </c>
      <c r="O117" s="22">
        <f>COUNTIF(年間一覧表!$AE$116:$AK$121,LEFT(月別集計!O$112,1))</f>
        <v>0</v>
      </c>
      <c r="P117" s="28">
        <f t="shared" si="64"/>
        <v>0</v>
      </c>
      <c r="Q117" s="22">
        <f>COUNTIF(年間一覧表!$AE$116:$AK$121,LEFT(月別集計!Q$112,1))</f>
        <v>0</v>
      </c>
      <c r="R117" s="22">
        <f>COUNTIF(年間一覧表!$AE$116:$AK$121,RIGHT(月別集計!R$112,1))</f>
        <v>0</v>
      </c>
      <c r="S117" s="22">
        <f>COUNTIF(年間一覧表!$AE$116:$AK$121,LEFT(月別集計!S$112,1))</f>
        <v>0</v>
      </c>
      <c r="T117" s="22">
        <f>COUNTIF(年間一覧表!$AE$116:$AK$121,LEFT(月別集計!T$112,1))</f>
        <v>0</v>
      </c>
      <c r="U117" s="22">
        <f>COUNTIF(年間一覧表!$AE$116:$AK$121,LEFT(月別集計!U$112,1))</f>
        <v>0</v>
      </c>
      <c r="V117" s="30">
        <f t="shared" si="65"/>
        <v>0</v>
      </c>
      <c r="W117" s="32">
        <f t="shared" si="66"/>
        <v>0</v>
      </c>
      <c r="X117" s="22">
        <f>COUNTIF(年間一覧表!$AE$116:$AK$121,LEFT(月別集計!X$112,1))</f>
        <v>0</v>
      </c>
      <c r="Y117" s="22">
        <f>COUNTIF(年間一覧表!$AE$116:$AK$121,LEFT(月別集計!Y$112,1))</f>
        <v>0</v>
      </c>
      <c r="Z117" s="22">
        <f>COUNTIF(年間一覧表!$AE$116:$AK$121,LEFT(月別集計!Z$112,1))</f>
        <v>0</v>
      </c>
      <c r="AA117" s="22">
        <f>COUNTIF(年間一覧表!$AE$116:$AK$121,LEFT(月別集計!AA$112,1))</f>
        <v>0</v>
      </c>
      <c r="AB117" s="22">
        <f>COUNTIF(年間一覧表!$AE$116:$AK$121,LEFT(月別集計!AB$112,1))</f>
        <v>0</v>
      </c>
      <c r="AC117" s="34">
        <f t="shared" si="67"/>
        <v>0</v>
      </c>
    </row>
    <row r="118" spans="1:29" x14ac:dyDescent="0.15">
      <c r="A118" s="57"/>
      <c r="B118" s="24" t="s">
        <v>39</v>
      </c>
      <c r="C118" s="22">
        <f>COUNTIF(年間一覧表!$AL$116:$AM$121,LEFT(月別集計!C$112,1))</f>
        <v>0</v>
      </c>
      <c r="D118" s="22">
        <f>COUNTIF(年間一覧表!$AL$116:$AM$121,LEFT(月別集計!D$112,1))</f>
        <v>0</v>
      </c>
      <c r="E118" s="22">
        <f>COUNTIF(年間一覧表!$AL$116:$AM$121,LEFT(月別集計!E$112,1))</f>
        <v>0</v>
      </c>
      <c r="F118" s="22">
        <f>COUNTIF(年間一覧表!$AL$116:$AM$121,LEFT(月別集計!F$112,1))</f>
        <v>0</v>
      </c>
      <c r="G118" s="22">
        <f>COUNTIF(年間一覧表!$AL$116:$AM$121,LEFT(月別集計!G$112,1))</f>
        <v>0</v>
      </c>
      <c r="H118" s="22">
        <f>COUNTIF(年間一覧表!$AL$116:$AM$121,LEFT(月別集計!H$112,1))</f>
        <v>0</v>
      </c>
      <c r="I118" s="22">
        <f>COUNTIF(年間一覧表!$AL$116:$AM$121,LEFT(月別集計!I$112,1))</f>
        <v>0</v>
      </c>
      <c r="J118" s="22">
        <f>COUNTIF(年間一覧表!$AL$116:$AM$121,LEFT(月別集計!J$112,1))</f>
        <v>0</v>
      </c>
      <c r="K118" s="22">
        <f>COUNTIF(年間一覧表!$AL$116:$AM$121,LEFT(月別集計!K$112,1))</f>
        <v>0</v>
      </c>
      <c r="L118" s="22">
        <f>COUNTIF(年間一覧表!$AL$116:$AM$121,LEFT(月別集計!L$112,1))</f>
        <v>0</v>
      </c>
      <c r="M118" s="22">
        <f>COUNTIF(年間一覧表!$AL$116:$AM$121,LEFT(月別集計!M$112,1))</f>
        <v>0</v>
      </c>
      <c r="N118" s="22">
        <f>COUNTIF(年間一覧表!$AL$116:$AM$121,LEFT(月別集計!N$112,1))</f>
        <v>0</v>
      </c>
      <c r="O118" s="22">
        <f>COUNTIF(年間一覧表!$AL$116:$AM$121,LEFT(月別集計!O$112,1))</f>
        <v>0</v>
      </c>
      <c r="P118" s="28">
        <f t="shared" si="64"/>
        <v>0</v>
      </c>
      <c r="Q118" s="22">
        <f>COUNTIF(年間一覧表!$AL$116:$AM$121,LEFT(月別集計!Q$112,1))</f>
        <v>0</v>
      </c>
      <c r="R118" s="22">
        <f>COUNTIF(年間一覧表!$AL$116:$AM$121,RIGHT(月別集計!R$112,1))</f>
        <v>0</v>
      </c>
      <c r="S118" s="22">
        <f>COUNTIF(年間一覧表!$AL$116:$AM$121,LEFT(月別集計!S$112,1))</f>
        <v>0</v>
      </c>
      <c r="T118" s="22">
        <f>COUNTIF(年間一覧表!$AL$116:$AM$121,LEFT(月別集計!T$112,1))</f>
        <v>0</v>
      </c>
      <c r="U118" s="22">
        <f>COUNTIF(年間一覧表!$AL$116:$AM$121,LEFT(月別集計!U$112,1))</f>
        <v>0</v>
      </c>
      <c r="V118" s="30">
        <f t="shared" si="65"/>
        <v>0</v>
      </c>
      <c r="W118" s="32">
        <f t="shared" si="66"/>
        <v>0</v>
      </c>
      <c r="X118" s="22">
        <f>COUNTIF(年間一覧表!$AL$116:$AM$121,LEFT(月別集計!X$112,1))</f>
        <v>0</v>
      </c>
      <c r="Y118" s="22">
        <f>COUNTIF(年間一覧表!$AL$116:$AM$121,LEFT(月別集計!Y$112,1))</f>
        <v>0</v>
      </c>
      <c r="Z118" s="22">
        <f>COUNTIF(年間一覧表!$AL$116:$AM$121,LEFT(月別集計!Z$112,1))</f>
        <v>0</v>
      </c>
      <c r="AA118" s="22">
        <f>COUNTIF(年間一覧表!$AL$116:$AM$121,LEFT(月別集計!AA$112,1))</f>
        <v>0</v>
      </c>
      <c r="AB118" s="22">
        <f>COUNTIF(年間一覧表!$AL$116:$AM$121,LEFT(月別集計!AB$112,1))</f>
        <v>0</v>
      </c>
      <c r="AC118" s="34">
        <f t="shared" si="67"/>
        <v>0</v>
      </c>
    </row>
    <row r="119" spans="1:29" x14ac:dyDescent="0.15">
      <c r="A119" s="58"/>
      <c r="B119" s="24" t="s">
        <v>40</v>
      </c>
      <c r="C119" s="26">
        <f>SUM(C113:C118)</f>
        <v>0</v>
      </c>
      <c r="D119" s="26">
        <f t="shared" ref="D119:AC119" si="68">SUM(D113:D118)</f>
        <v>0</v>
      </c>
      <c r="E119" s="26">
        <f t="shared" si="68"/>
        <v>0</v>
      </c>
      <c r="F119" s="26">
        <f t="shared" si="68"/>
        <v>0</v>
      </c>
      <c r="G119" s="26">
        <f t="shared" si="68"/>
        <v>0</v>
      </c>
      <c r="H119" s="26">
        <f t="shared" si="68"/>
        <v>0</v>
      </c>
      <c r="I119" s="26">
        <f t="shared" si="68"/>
        <v>0</v>
      </c>
      <c r="J119" s="26">
        <f t="shared" si="68"/>
        <v>0</v>
      </c>
      <c r="K119" s="26">
        <f t="shared" si="68"/>
        <v>0</v>
      </c>
      <c r="L119" s="26">
        <f t="shared" si="68"/>
        <v>0</v>
      </c>
      <c r="M119" s="26">
        <f t="shared" si="68"/>
        <v>0</v>
      </c>
      <c r="N119" s="26">
        <f t="shared" si="68"/>
        <v>0</v>
      </c>
      <c r="O119" s="26">
        <f t="shared" si="68"/>
        <v>0</v>
      </c>
      <c r="P119" s="28">
        <f t="shared" si="68"/>
        <v>0</v>
      </c>
      <c r="Q119" s="26">
        <f t="shared" si="68"/>
        <v>0</v>
      </c>
      <c r="R119" s="26">
        <f t="shared" si="68"/>
        <v>0</v>
      </c>
      <c r="S119" s="26">
        <f t="shared" si="68"/>
        <v>0</v>
      </c>
      <c r="T119" s="26">
        <f t="shared" si="68"/>
        <v>0</v>
      </c>
      <c r="U119" s="26">
        <f t="shared" si="68"/>
        <v>0</v>
      </c>
      <c r="V119" s="30">
        <f t="shared" si="68"/>
        <v>0</v>
      </c>
      <c r="W119" s="32">
        <f t="shared" si="68"/>
        <v>0</v>
      </c>
      <c r="X119" s="26">
        <f t="shared" si="68"/>
        <v>0</v>
      </c>
      <c r="Y119" s="26">
        <f t="shared" si="68"/>
        <v>0</v>
      </c>
      <c r="Z119" s="26">
        <f t="shared" si="68"/>
        <v>0</v>
      </c>
      <c r="AA119" s="26">
        <f t="shared" si="68"/>
        <v>0</v>
      </c>
      <c r="AB119" s="26">
        <f t="shared" ref="AB119" si="69">SUM(AB113:AB118)</f>
        <v>0</v>
      </c>
      <c r="AC119" s="34">
        <f t="shared" si="68"/>
        <v>0</v>
      </c>
    </row>
  </sheetData>
  <sheetProtection sheet="1" objects="1" scenarios="1"/>
  <mergeCells count="48">
    <mergeCell ref="X52:AB52"/>
    <mergeCell ref="Q62:V62"/>
    <mergeCell ref="A62:A70"/>
    <mergeCell ref="C62:P62"/>
    <mergeCell ref="Q72:V72"/>
    <mergeCell ref="A72:A80"/>
    <mergeCell ref="C72:P72"/>
    <mergeCell ref="X62:AB62"/>
    <mergeCell ref="X72:AB72"/>
    <mergeCell ref="Q42:V42"/>
    <mergeCell ref="Q52:V52"/>
    <mergeCell ref="A52:A60"/>
    <mergeCell ref="C52:P52"/>
    <mergeCell ref="A42:A50"/>
    <mergeCell ref="C42:P42"/>
    <mergeCell ref="Q2:V2"/>
    <mergeCell ref="C2:P2"/>
    <mergeCell ref="A12:A20"/>
    <mergeCell ref="Q32:V32"/>
    <mergeCell ref="Q12:V12"/>
    <mergeCell ref="C22:P22"/>
    <mergeCell ref="Q22:V22"/>
    <mergeCell ref="A2:A10"/>
    <mergeCell ref="A22:A30"/>
    <mergeCell ref="A32:A40"/>
    <mergeCell ref="C32:P32"/>
    <mergeCell ref="C12:P12"/>
    <mergeCell ref="X102:AB102"/>
    <mergeCell ref="X111:AB111"/>
    <mergeCell ref="A82:A90"/>
    <mergeCell ref="C82:P82"/>
    <mergeCell ref="Q82:V82"/>
    <mergeCell ref="A92:A100"/>
    <mergeCell ref="C92:P92"/>
    <mergeCell ref="Q92:V92"/>
    <mergeCell ref="X82:AB82"/>
    <mergeCell ref="X92:AB92"/>
    <mergeCell ref="A102:A109"/>
    <mergeCell ref="C102:P102"/>
    <mergeCell ref="Q102:V102"/>
    <mergeCell ref="A111:A119"/>
    <mergeCell ref="C111:P111"/>
    <mergeCell ref="Q111:V111"/>
    <mergeCell ref="X2:AB2"/>
    <mergeCell ref="X12:AB12"/>
    <mergeCell ref="X22:AB22"/>
    <mergeCell ref="X32:AB32"/>
    <mergeCell ref="X42:AB42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AC32"/>
  <sheetViews>
    <sheetView workbookViewId="0">
      <selection activeCell="I35" sqref="I35"/>
    </sheetView>
  </sheetViews>
  <sheetFormatPr defaultColWidth="13" defaultRowHeight="14.25" x14ac:dyDescent="0.15"/>
  <cols>
    <col min="1" max="1" width="3" bestFit="1" customWidth="1"/>
    <col min="2" max="2" width="9.5" style="35" bestFit="1" customWidth="1"/>
    <col min="3" max="14" width="5.5" bestFit="1" customWidth="1"/>
    <col min="15" max="15" width="7.5" bestFit="1" customWidth="1"/>
    <col min="16" max="21" width="5.5" bestFit="1" customWidth="1"/>
    <col min="22" max="22" width="7.5" bestFit="1" customWidth="1"/>
    <col min="23" max="23" width="5.5" bestFit="1" customWidth="1"/>
    <col min="24" max="24" width="6.5" bestFit="1" customWidth="1"/>
    <col min="25" max="26" width="7.5" bestFit="1" customWidth="1"/>
    <col min="27" max="27" width="7.375" bestFit="1" customWidth="1"/>
    <col min="28" max="28" width="7.375" customWidth="1"/>
    <col min="29" max="29" width="7.5" bestFit="1" customWidth="1"/>
  </cols>
  <sheetData>
    <row r="1" spans="1:29" ht="24" x14ac:dyDescent="0.15">
      <c r="B1" s="66" t="s">
        <v>84</v>
      </c>
      <c r="C1" s="66"/>
      <c r="D1" s="66"/>
      <c r="E1" s="66"/>
      <c r="F1" s="66"/>
      <c r="G1" s="66"/>
      <c r="H1" s="66"/>
      <c r="I1" s="66"/>
    </row>
    <row r="2" spans="1:29" x14ac:dyDescent="0.15">
      <c r="A2" s="63" t="s">
        <v>81</v>
      </c>
      <c r="B2" s="64" t="s">
        <v>82</v>
      </c>
      <c r="C2" s="65" t="s">
        <v>41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2" t="s">
        <v>51</v>
      </c>
      <c r="R2" s="62"/>
      <c r="S2" s="62"/>
      <c r="T2" s="62"/>
      <c r="U2" s="62"/>
      <c r="V2" s="62"/>
      <c r="W2" s="31"/>
      <c r="X2" s="53" t="s">
        <v>53</v>
      </c>
      <c r="Y2" s="54"/>
      <c r="Z2" s="54"/>
      <c r="AA2" s="54"/>
      <c r="AB2" s="55"/>
      <c r="AC2" s="34"/>
    </row>
    <row r="3" spans="1:29" x14ac:dyDescent="0.15">
      <c r="A3" s="63"/>
      <c r="B3" s="64"/>
      <c r="C3" s="24" t="s">
        <v>8</v>
      </c>
      <c r="D3" s="24" t="s">
        <v>10</v>
      </c>
      <c r="E3" s="24" t="s">
        <v>11</v>
      </c>
      <c r="F3" s="24" t="s">
        <v>12</v>
      </c>
      <c r="G3" s="24" t="s">
        <v>13</v>
      </c>
      <c r="H3" s="24" t="s">
        <v>14</v>
      </c>
      <c r="I3" s="24" t="s">
        <v>15</v>
      </c>
      <c r="J3" s="24" t="s">
        <v>17</v>
      </c>
      <c r="K3" s="24" t="s">
        <v>16</v>
      </c>
      <c r="L3" s="24" t="s">
        <v>19</v>
      </c>
      <c r="M3" s="24" t="s">
        <v>20</v>
      </c>
      <c r="N3" s="24" t="s">
        <v>18</v>
      </c>
      <c r="O3" s="24" t="s">
        <v>34</v>
      </c>
      <c r="P3" s="27" t="s">
        <v>40</v>
      </c>
      <c r="Q3" s="24" t="s">
        <v>42</v>
      </c>
      <c r="R3" s="24" t="s">
        <v>43</v>
      </c>
      <c r="S3" s="24" t="s">
        <v>44</v>
      </c>
      <c r="T3" s="24" t="s">
        <v>45</v>
      </c>
      <c r="U3" s="24" t="s">
        <v>46</v>
      </c>
      <c r="V3" s="29" t="s">
        <v>52</v>
      </c>
      <c r="W3" s="31" t="s">
        <v>73</v>
      </c>
      <c r="X3" s="24" t="s">
        <v>21</v>
      </c>
      <c r="Y3" s="24" t="s">
        <v>69</v>
      </c>
      <c r="Z3" s="24" t="s">
        <v>70</v>
      </c>
      <c r="AA3" s="24" t="s">
        <v>53</v>
      </c>
      <c r="AB3" s="50" t="s">
        <v>109</v>
      </c>
      <c r="AC3" s="33" t="s">
        <v>50</v>
      </c>
    </row>
    <row r="4" spans="1:29" x14ac:dyDescent="0.15">
      <c r="A4" s="63"/>
      <c r="B4" s="25" t="s">
        <v>79</v>
      </c>
      <c r="C4" s="22">
        <f>月別集計!C10</f>
        <v>0</v>
      </c>
      <c r="D4" s="22">
        <f>月別集計!D10</f>
        <v>0</v>
      </c>
      <c r="E4" s="22">
        <f>月別集計!E10</f>
        <v>0</v>
      </c>
      <c r="F4" s="22">
        <f>月別集計!F10</f>
        <v>0</v>
      </c>
      <c r="G4" s="22">
        <f>月別集計!G10</f>
        <v>0</v>
      </c>
      <c r="H4" s="22">
        <f>月別集計!H10</f>
        <v>0</v>
      </c>
      <c r="I4" s="22">
        <f>月別集計!I10</f>
        <v>0</v>
      </c>
      <c r="J4" s="22">
        <f>月別集計!J10</f>
        <v>0</v>
      </c>
      <c r="K4" s="22">
        <f>月別集計!K10</f>
        <v>0</v>
      </c>
      <c r="L4" s="22">
        <f>月別集計!L10</f>
        <v>0</v>
      </c>
      <c r="M4" s="22">
        <f>月別集計!M10</f>
        <v>0</v>
      </c>
      <c r="N4" s="22">
        <f>月別集計!N10</f>
        <v>0</v>
      </c>
      <c r="O4" s="22">
        <f>月別集計!O10</f>
        <v>0</v>
      </c>
      <c r="P4" s="28">
        <f>月別集計!P10</f>
        <v>0</v>
      </c>
      <c r="Q4" s="22">
        <f>月別集計!Q10</f>
        <v>0</v>
      </c>
      <c r="R4" s="22">
        <f>月別集計!R10</f>
        <v>0</v>
      </c>
      <c r="S4" s="22">
        <f>月別集計!S10</f>
        <v>0</v>
      </c>
      <c r="T4" s="22">
        <f>月別集計!T10</f>
        <v>0</v>
      </c>
      <c r="U4" s="22">
        <f>月別集計!U10</f>
        <v>0</v>
      </c>
      <c r="V4" s="30">
        <f>月別集計!V10</f>
        <v>0</v>
      </c>
      <c r="W4" s="32">
        <f>月別集計!W10</f>
        <v>0</v>
      </c>
      <c r="X4" s="22">
        <f>月別集計!X10</f>
        <v>0</v>
      </c>
      <c r="Y4" s="22">
        <f>月別集計!Y10</f>
        <v>0</v>
      </c>
      <c r="Z4" s="22">
        <f>月別集計!Z10</f>
        <v>0</v>
      </c>
      <c r="AA4" s="22">
        <f>月別集計!AA10</f>
        <v>0</v>
      </c>
      <c r="AB4" s="22">
        <f>月別集計!AB10</f>
        <v>0</v>
      </c>
      <c r="AC4" s="34">
        <f>月別集計!AC10</f>
        <v>0</v>
      </c>
    </row>
    <row r="5" spans="1:29" x14ac:dyDescent="0.15">
      <c r="A5" s="63"/>
      <c r="B5" s="25" t="s">
        <v>71</v>
      </c>
      <c r="C5" s="22">
        <f>月別集計!C20</f>
        <v>0</v>
      </c>
      <c r="D5" s="22">
        <f>月別集計!D20</f>
        <v>0</v>
      </c>
      <c r="E5" s="22">
        <f>月別集計!E20</f>
        <v>0</v>
      </c>
      <c r="F5" s="22">
        <f>月別集計!F20</f>
        <v>0</v>
      </c>
      <c r="G5" s="22">
        <f>月別集計!G20</f>
        <v>0</v>
      </c>
      <c r="H5" s="22">
        <f>月別集計!H20</f>
        <v>0</v>
      </c>
      <c r="I5" s="22">
        <f>月別集計!I20</f>
        <v>0</v>
      </c>
      <c r="J5" s="22">
        <f>月別集計!J20</f>
        <v>0</v>
      </c>
      <c r="K5" s="22">
        <f>月別集計!K20</f>
        <v>0</v>
      </c>
      <c r="L5" s="22">
        <f>月別集計!L20</f>
        <v>0</v>
      </c>
      <c r="M5" s="22">
        <f>月別集計!M20</f>
        <v>0</v>
      </c>
      <c r="N5" s="22">
        <f>月別集計!N20</f>
        <v>0</v>
      </c>
      <c r="O5" s="22">
        <f>月別集計!O20</f>
        <v>0</v>
      </c>
      <c r="P5" s="28">
        <f>月別集計!P20</f>
        <v>0</v>
      </c>
      <c r="Q5" s="22">
        <f>月別集計!Q20</f>
        <v>0</v>
      </c>
      <c r="R5" s="22">
        <f>月別集計!R20</f>
        <v>0</v>
      </c>
      <c r="S5" s="22">
        <f>月別集計!S20</f>
        <v>0</v>
      </c>
      <c r="T5" s="22">
        <f>月別集計!T20</f>
        <v>0</v>
      </c>
      <c r="U5" s="22">
        <f>月別集計!U20</f>
        <v>0</v>
      </c>
      <c r="V5" s="30">
        <f>月別集計!V20</f>
        <v>0</v>
      </c>
      <c r="W5" s="32">
        <f>月別集計!W20</f>
        <v>0</v>
      </c>
      <c r="X5" s="22">
        <f>月別集計!X20</f>
        <v>0</v>
      </c>
      <c r="Y5" s="22">
        <f>月別集計!Y20</f>
        <v>0</v>
      </c>
      <c r="Z5" s="22">
        <f>月別集計!Z20</f>
        <v>0</v>
      </c>
      <c r="AA5" s="22">
        <f>月別集計!AA20</f>
        <v>0</v>
      </c>
      <c r="AB5" s="22">
        <f>月別集計!AB20</f>
        <v>0</v>
      </c>
      <c r="AC5" s="34">
        <f>月別集計!AC20</f>
        <v>0</v>
      </c>
    </row>
    <row r="6" spans="1:29" x14ac:dyDescent="0.15">
      <c r="A6" s="63"/>
      <c r="B6" s="25" t="s">
        <v>72</v>
      </c>
      <c r="C6" s="22">
        <f>月別集計!C30</f>
        <v>0</v>
      </c>
      <c r="D6" s="22">
        <f>月別集計!D30</f>
        <v>0</v>
      </c>
      <c r="E6" s="22">
        <f>月別集計!E30</f>
        <v>0</v>
      </c>
      <c r="F6" s="22">
        <f>月別集計!F30</f>
        <v>0</v>
      </c>
      <c r="G6" s="22">
        <f>月別集計!G30</f>
        <v>0</v>
      </c>
      <c r="H6" s="22">
        <f>月別集計!H30</f>
        <v>0</v>
      </c>
      <c r="I6" s="22">
        <f>月別集計!I30</f>
        <v>0</v>
      </c>
      <c r="J6" s="22">
        <f>月別集計!J30</f>
        <v>0</v>
      </c>
      <c r="K6" s="22">
        <f>月別集計!K30</f>
        <v>0</v>
      </c>
      <c r="L6" s="22">
        <f>月別集計!L30</f>
        <v>0</v>
      </c>
      <c r="M6" s="22">
        <f>月別集計!M30</f>
        <v>0</v>
      </c>
      <c r="N6" s="22">
        <f>月別集計!N30</f>
        <v>0</v>
      </c>
      <c r="O6" s="22">
        <f>月別集計!O30</f>
        <v>0</v>
      </c>
      <c r="P6" s="28">
        <f>月別集計!P30</f>
        <v>0</v>
      </c>
      <c r="Q6" s="22">
        <f>月別集計!Q30</f>
        <v>0</v>
      </c>
      <c r="R6" s="22">
        <f>月別集計!R30</f>
        <v>0</v>
      </c>
      <c r="S6" s="22">
        <f>月別集計!S30</f>
        <v>0</v>
      </c>
      <c r="T6" s="22">
        <f>月別集計!T30</f>
        <v>0</v>
      </c>
      <c r="U6" s="22">
        <f>月別集計!U30</f>
        <v>0</v>
      </c>
      <c r="V6" s="30">
        <f>月別集計!V30</f>
        <v>0</v>
      </c>
      <c r="W6" s="32">
        <f>月別集計!W30</f>
        <v>0</v>
      </c>
      <c r="X6" s="22">
        <f>月別集計!X30</f>
        <v>0</v>
      </c>
      <c r="Y6" s="22">
        <f>月別集計!Y30</f>
        <v>0</v>
      </c>
      <c r="Z6" s="22">
        <f>月別集計!Z30</f>
        <v>0</v>
      </c>
      <c r="AA6" s="22">
        <f>月別集計!AA30</f>
        <v>0</v>
      </c>
      <c r="AB6" s="22">
        <f>月別集計!AB30</f>
        <v>0</v>
      </c>
      <c r="AC6" s="34">
        <f>月別集計!AC30</f>
        <v>0</v>
      </c>
    </row>
    <row r="7" spans="1:29" x14ac:dyDescent="0.15">
      <c r="A7" s="63"/>
      <c r="B7" s="25" t="s">
        <v>74</v>
      </c>
      <c r="C7" s="22">
        <f>月別集計!C40</f>
        <v>0</v>
      </c>
      <c r="D7" s="22">
        <f>月別集計!D40</f>
        <v>0</v>
      </c>
      <c r="E7" s="22">
        <f>月別集計!E40</f>
        <v>0</v>
      </c>
      <c r="F7" s="22">
        <f>月別集計!F40</f>
        <v>0</v>
      </c>
      <c r="G7" s="22">
        <f>月別集計!G40</f>
        <v>0</v>
      </c>
      <c r="H7" s="22">
        <f>月別集計!H40</f>
        <v>0</v>
      </c>
      <c r="I7" s="22">
        <f>月別集計!I40</f>
        <v>0</v>
      </c>
      <c r="J7" s="22">
        <f>月別集計!J40</f>
        <v>0</v>
      </c>
      <c r="K7" s="22">
        <f>月別集計!K40</f>
        <v>0</v>
      </c>
      <c r="L7" s="22">
        <f>月別集計!L40</f>
        <v>0</v>
      </c>
      <c r="M7" s="22">
        <f>月別集計!M40</f>
        <v>0</v>
      </c>
      <c r="N7" s="22">
        <f>月別集計!N40</f>
        <v>0</v>
      </c>
      <c r="O7" s="22">
        <f>月別集計!O40</f>
        <v>0</v>
      </c>
      <c r="P7" s="28">
        <f>月別集計!P40</f>
        <v>0</v>
      </c>
      <c r="Q7" s="22">
        <f>月別集計!Q40</f>
        <v>0</v>
      </c>
      <c r="R7" s="22">
        <f>月別集計!R40</f>
        <v>0</v>
      </c>
      <c r="S7" s="22">
        <f>月別集計!S40</f>
        <v>0</v>
      </c>
      <c r="T7" s="22">
        <f>月別集計!T40</f>
        <v>0</v>
      </c>
      <c r="U7" s="22">
        <f>月別集計!U40</f>
        <v>0</v>
      </c>
      <c r="V7" s="30">
        <f>月別集計!V40</f>
        <v>0</v>
      </c>
      <c r="W7" s="32">
        <f>月別集計!W40</f>
        <v>0</v>
      </c>
      <c r="X7" s="22">
        <f>月別集計!X40</f>
        <v>0</v>
      </c>
      <c r="Y7" s="22">
        <f>月別集計!Y40</f>
        <v>0</v>
      </c>
      <c r="Z7" s="22">
        <f>月別集計!Z40</f>
        <v>0</v>
      </c>
      <c r="AA7" s="22">
        <f>月別集計!AA40</f>
        <v>0</v>
      </c>
      <c r="AB7" s="22">
        <f>月別集計!AB40</f>
        <v>0</v>
      </c>
      <c r="AC7" s="34">
        <f>月別集計!AC40</f>
        <v>0</v>
      </c>
    </row>
    <row r="8" spans="1:29" x14ac:dyDescent="0.15">
      <c r="A8" s="63"/>
      <c r="B8" s="38" t="s">
        <v>80</v>
      </c>
      <c r="C8" s="39">
        <f>SUM(C4:C7)</f>
        <v>0</v>
      </c>
      <c r="D8" s="39">
        <f t="shared" ref="D8:AC8" si="0">SUM(D4:D7)</f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 t="shared" si="0"/>
        <v>0</v>
      </c>
      <c r="P8" s="28">
        <f t="shared" si="0"/>
        <v>0</v>
      </c>
      <c r="Q8" s="39">
        <f t="shared" si="0"/>
        <v>0</v>
      </c>
      <c r="R8" s="39">
        <f t="shared" si="0"/>
        <v>0</v>
      </c>
      <c r="S8" s="39">
        <f t="shared" si="0"/>
        <v>0</v>
      </c>
      <c r="T8" s="39">
        <f t="shared" si="0"/>
        <v>0</v>
      </c>
      <c r="U8" s="39">
        <f t="shared" si="0"/>
        <v>0</v>
      </c>
      <c r="V8" s="30">
        <f t="shared" si="0"/>
        <v>0</v>
      </c>
      <c r="W8" s="32">
        <f t="shared" si="0"/>
        <v>0</v>
      </c>
      <c r="X8" s="39">
        <f t="shared" si="0"/>
        <v>0</v>
      </c>
      <c r="Y8" s="39">
        <f t="shared" si="0"/>
        <v>0</v>
      </c>
      <c r="Z8" s="39">
        <f t="shared" si="0"/>
        <v>0</v>
      </c>
      <c r="AA8" s="39">
        <f t="shared" si="0"/>
        <v>0</v>
      </c>
      <c r="AB8" s="39">
        <f t="shared" ref="AB8" si="1">SUM(AB4:AB7)</f>
        <v>0</v>
      </c>
      <c r="AC8" s="34">
        <f t="shared" si="0"/>
        <v>0</v>
      </c>
    </row>
    <row r="10" spans="1:29" x14ac:dyDescent="0.15">
      <c r="A10" s="63" t="s">
        <v>85</v>
      </c>
      <c r="B10" s="64" t="s">
        <v>82</v>
      </c>
      <c r="C10" s="65" t="s">
        <v>41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2" t="s">
        <v>51</v>
      </c>
      <c r="R10" s="62"/>
      <c r="S10" s="62"/>
      <c r="T10" s="62"/>
      <c r="U10" s="62"/>
      <c r="V10" s="62"/>
      <c r="W10" s="31"/>
      <c r="X10" s="53" t="s">
        <v>53</v>
      </c>
      <c r="Y10" s="54"/>
      <c r="Z10" s="54"/>
      <c r="AA10" s="54"/>
      <c r="AB10" s="55"/>
      <c r="AC10" s="34"/>
    </row>
    <row r="11" spans="1:29" x14ac:dyDescent="0.15">
      <c r="A11" s="63"/>
      <c r="B11" s="64"/>
      <c r="C11" s="24" t="s">
        <v>8</v>
      </c>
      <c r="D11" s="24" t="s">
        <v>10</v>
      </c>
      <c r="E11" s="24" t="s">
        <v>11</v>
      </c>
      <c r="F11" s="24" t="s">
        <v>12</v>
      </c>
      <c r="G11" s="24" t="s">
        <v>13</v>
      </c>
      <c r="H11" s="24" t="s">
        <v>14</v>
      </c>
      <c r="I11" s="24" t="s">
        <v>15</v>
      </c>
      <c r="J11" s="24" t="s">
        <v>17</v>
      </c>
      <c r="K11" s="24" t="s">
        <v>16</v>
      </c>
      <c r="L11" s="24" t="s">
        <v>19</v>
      </c>
      <c r="M11" s="24" t="s">
        <v>20</v>
      </c>
      <c r="N11" s="24" t="s">
        <v>18</v>
      </c>
      <c r="O11" s="24" t="s">
        <v>34</v>
      </c>
      <c r="P11" s="27" t="s">
        <v>40</v>
      </c>
      <c r="Q11" s="24" t="s">
        <v>42</v>
      </c>
      <c r="R11" s="24" t="s">
        <v>43</v>
      </c>
      <c r="S11" s="24" t="s">
        <v>44</v>
      </c>
      <c r="T11" s="24" t="s">
        <v>45</v>
      </c>
      <c r="U11" s="24" t="s">
        <v>46</v>
      </c>
      <c r="V11" s="29" t="s">
        <v>52</v>
      </c>
      <c r="W11" s="31" t="s">
        <v>73</v>
      </c>
      <c r="X11" s="24" t="s">
        <v>21</v>
      </c>
      <c r="Y11" s="24" t="s">
        <v>69</v>
      </c>
      <c r="Z11" s="24" t="s">
        <v>70</v>
      </c>
      <c r="AA11" s="24" t="s">
        <v>53</v>
      </c>
      <c r="AB11" s="50" t="s">
        <v>109</v>
      </c>
      <c r="AC11" s="33" t="s">
        <v>50</v>
      </c>
    </row>
    <row r="12" spans="1:29" x14ac:dyDescent="0.15">
      <c r="A12" s="63"/>
      <c r="B12" s="25" t="s">
        <v>86</v>
      </c>
      <c r="C12" s="22">
        <f>月別集計!C50</f>
        <v>0</v>
      </c>
      <c r="D12" s="22">
        <f>月別集計!D50</f>
        <v>0</v>
      </c>
      <c r="E12" s="22">
        <f>月別集計!E50</f>
        <v>0</v>
      </c>
      <c r="F12" s="22">
        <f>月別集計!F50</f>
        <v>0</v>
      </c>
      <c r="G12" s="22">
        <f>月別集計!G50</f>
        <v>0</v>
      </c>
      <c r="H12" s="22">
        <f>月別集計!H50</f>
        <v>0</v>
      </c>
      <c r="I12" s="22">
        <f>月別集計!I50</f>
        <v>0</v>
      </c>
      <c r="J12" s="22">
        <f>月別集計!J50</f>
        <v>0</v>
      </c>
      <c r="K12" s="22">
        <f>月別集計!K50</f>
        <v>0</v>
      </c>
      <c r="L12" s="22">
        <f>月別集計!L50</f>
        <v>0</v>
      </c>
      <c r="M12" s="22">
        <f>月別集計!M50</f>
        <v>0</v>
      </c>
      <c r="N12" s="22">
        <f>月別集計!N50</f>
        <v>0</v>
      </c>
      <c r="O12" s="22">
        <f>月別集計!O50</f>
        <v>0</v>
      </c>
      <c r="P12" s="28">
        <f>月別集計!P50</f>
        <v>0</v>
      </c>
      <c r="Q12" s="22">
        <f>月別集計!Q50</f>
        <v>0</v>
      </c>
      <c r="R12" s="22">
        <f>月別集計!R50</f>
        <v>0</v>
      </c>
      <c r="S12" s="22">
        <f>月別集計!S50</f>
        <v>0</v>
      </c>
      <c r="T12" s="22">
        <f>月別集計!T50</f>
        <v>0</v>
      </c>
      <c r="U12" s="22">
        <f>月別集計!U50</f>
        <v>0</v>
      </c>
      <c r="V12" s="30">
        <f>月別集計!V50</f>
        <v>0</v>
      </c>
      <c r="W12" s="32">
        <f>月別集計!W50</f>
        <v>0</v>
      </c>
      <c r="X12" s="22">
        <f>月別集計!X50</f>
        <v>0</v>
      </c>
      <c r="Y12" s="22">
        <f>月別集計!Y50</f>
        <v>0</v>
      </c>
      <c r="Z12" s="22">
        <f>月別集計!Z50</f>
        <v>0</v>
      </c>
      <c r="AA12" s="22">
        <f>月別集計!AA50</f>
        <v>0</v>
      </c>
      <c r="AB12" s="22">
        <f>月別集計!AB50</f>
        <v>0</v>
      </c>
      <c r="AC12" s="34">
        <f>月別集計!AC50</f>
        <v>0</v>
      </c>
    </row>
    <row r="13" spans="1:29" x14ac:dyDescent="0.15">
      <c r="A13" s="63"/>
      <c r="B13" s="25" t="s">
        <v>87</v>
      </c>
      <c r="C13" s="22">
        <f>月別集計!C60</f>
        <v>0</v>
      </c>
      <c r="D13" s="22">
        <f>月別集計!D60</f>
        <v>0</v>
      </c>
      <c r="E13" s="22">
        <f>月別集計!E60</f>
        <v>0</v>
      </c>
      <c r="F13" s="22">
        <f>月別集計!F60</f>
        <v>0</v>
      </c>
      <c r="G13" s="22">
        <f>月別集計!G60</f>
        <v>0</v>
      </c>
      <c r="H13" s="22">
        <f>月別集計!H60</f>
        <v>0</v>
      </c>
      <c r="I13" s="22">
        <f>月別集計!I60</f>
        <v>0</v>
      </c>
      <c r="J13" s="22">
        <f>月別集計!J60</f>
        <v>0</v>
      </c>
      <c r="K13" s="22">
        <f>月別集計!K60</f>
        <v>0</v>
      </c>
      <c r="L13" s="22">
        <f>月別集計!L60</f>
        <v>0</v>
      </c>
      <c r="M13" s="22">
        <f>月別集計!M60</f>
        <v>0</v>
      </c>
      <c r="N13" s="22">
        <f>月別集計!N60</f>
        <v>0</v>
      </c>
      <c r="O13" s="22">
        <f>月別集計!O60</f>
        <v>0</v>
      </c>
      <c r="P13" s="28">
        <f>月別集計!P60</f>
        <v>0</v>
      </c>
      <c r="Q13" s="22">
        <f>月別集計!Q60</f>
        <v>0</v>
      </c>
      <c r="R13" s="22">
        <f>月別集計!R60</f>
        <v>0</v>
      </c>
      <c r="S13" s="22">
        <f>月別集計!S60</f>
        <v>0</v>
      </c>
      <c r="T13" s="22">
        <f>月別集計!T60</f>
        <v>0</v>
      </c>
      <c r="U13" s="22">
        <f>月別集計!U60</f>
        <v>0</v>
      </c>
      <c r="V13" s="30">
        <f>月別集計!V60</f>
        <v>0</v>
      </c>
      <c r="W13" s="32">
        <f>月別集計!W60</f>
        <v>0</v>
      </c>
      <c r="X13" s="22">
        <f>月別集計!X60</f>
        <v>0</v>
      </c>
      <c r="Y13" s="22">
        <f>月別集計!Y60</f>
        <v>0</v>
      </c>
      <c r="Z13" s="22">
        <f>月別集計!Z60</f>
        <v>0</v>
      </c>
      <c r="AA13" s="22">
        <f>月別集計!AA60</f>
        <v>0</v>
      </c>
      <c r="AB13" s="22">
        <f>月別集計!AB60</f>
        <v>0</v>
      </c>
      <c r="AC13" s="34">
        <f>月別集計!AC60</f>
        <v>0</v>
      </c>
    </row>
    <row r="14" spans="1:29" x14ac:dyDescent="0.15">
      <c r="A14" s="63"/>
      <c r="B14" s="25" t="s">
        <v>88</v>
      </c>
      <c r="C14" s="22">
        <f>月別集計!C70</f>
        <v>0</v>
      </c>
      <c r="D14" s="22">
        <f>月別集計!D70</f>
        <v>0</v>
      </c>
      <c r="E14" s="22">
        <f>月別集計!E70</f>
        <v>0</v>
      </c>
      <c r="F14" s="22">
        <f>月別集計!F70</f>
        <v>0</v>
      </c>
      <c r="G14" s="22">
        <f>月別集計!G70</f>
        <v>0</v>
      </c>
      <c r="H14" s="22">
        <f>月別集計!H70</f>
        <v>0</v>
      </c>
      <c r="I14" s="22">
        <f>月別集計!I70</f>
        <v>0</v>
      </c>
      <c r="J14" s="22">
        <f>月別集計!J70</f>
        <v>0</v>
      </c>
      <c r="K14" s="22">
        <f>月別集計!K70</f>
        <v>0</v>
      </c>
      <c r="L14" s="22">
        <f>月別集計!L70</f>
        <v>0</v>
      </c>
      <c r="M14" s="22">
        <f>月別集計!M70</f>
        <v>0</v>
      </c>
      <c r="N14" s="22">
        <f>月別集計!N70</f>
        <v>0</v>
      </c>
      <c r="O14" s="22">
        <f>月別集計!O70</f>
        <v>0</v>
      </c>
      <c r="P14" s="28">
        <f>月別集計!P70</f>
        <v>0</v>
      </c>
      <c r="Q14" s="22">
        <f>月別集計!Q70</f>
        <v>0</v>
      </c>
      <c r="R14" s="22">
        <f>月別集計!R70</f>
        <v>0</v>
      </c>
      <c r="S14" s="22">
        <f>月別集計!S70</f>
        <v>0</v>
      </c>
      <c r="T14" s="22">
        <f>月別集計!T70</f>
        <v>0</v>
      </c>
      <c r="U14" s="22">
        <f>月別集計!U70</f>
        <v>0</v>
      </c>
      <c r="V14" s="30">
        <f>月別集計!V70</f>
        <v>0</v>
      </c>
      <c r="W14" s="32">
        <f>月別集計!W70</f>
        <v>0</v>
      </c>
      <c r="X14" s="22">
        <f>月別集計!X70</f>
        <v>0</v>
      </c>
      <c r="Y14" s="22">
        <f>月別集計!Y70</f>
        <v>0</v>
      </c>
      <c r="Z14" s="22">
        <f>月別集計!Z70</f>
        <v>0</v>
      </c>
      <c r="AA14" s="22">
        <f>月別集計!AA70</f>
        <v>0</v>
      </c>
      <c r="AB14" s="22">
        <f>月別集計!AB70</f>
        <v>0</v>
      </c>
      <c r="AC14" s="34">
        <f>月別集計!AC70</f>
        <v>0</v>
      </c>
    </row>
    <row r="15" spans="1:29" x14ac:dyDescent="0.15">
      <c r="A15" s="63"/>
      <c r="B15" s="25" t="s">
        <v>89</v>
      </c>
      <c r="C15" s="22">
        <f>月別集計!C80</f>
        <v>0</v>
      </c>
      <c r="D15" s="22">
        <f>月別集計!D80</f>
        <v>0</v>
      </c>
      <c r="E15" s="22">
        <f>月別集計!E80</f>
        <v>0</v>
      </c>
      <c r="F15" s="22">
        <f>月別集計!F80</f>
        <v>0</v>
      </c>
      <c r="G15" s="22">
        <f>月別集計!G80</f>
        <v>0</v>
      </c>
      <c r="H15" s="22">
        <f>月別集計!H80</f>
        <v>0</v>
      </c>
      <c r="I15" s="22">
        <f>月別集計!I80</f>
        <v>0</v>
      </c>
      <c r="J15" s="22">
        <f>月別集計!J80</f>
        <v>0</v>
      </c>
      <c r="K15" s="22">
        <f>月別集計!K80</f>
        <v>0</v>
      </c>
      <c r="L15" s="22">
        <f>月別集計!L80</f>
        <v>0</v>
      </c>
      <c r="M15" s="22">
        <f>月別集計!M80</f>
        <v>0</v>
      </c>
      <c r="N15" s="22">
        <f>月別集計!N80</f>
        <v>0</v>
      </c>
      <c r="O15" s="22">
        <f>月別集計!O80</f>
        <v>0</v>
      </c>
      <c r="P15" s="28">
        <f>月別集計!P80</f>
        <v>0</v>
      </c>
      <c r="Q15" s="22">
        <f>月別集計!Q80</f>
        <v>0</v>
      </c>
      <c r="R15" s="22">
        <f>月別集計!R80</f>
        <v>0</v>
      </c>
      <c r="S15" s="22">
        <f>月別集計!S80</f>
        <v>0</v>
      </c>
      <c r="T15" s="22">
        <f>月別集計!T80</f>
        <v>0</v>
      </c>
      <c r="U15" s="22">
        <f>月別集計!U80</f>
        <v>0</v>
      </c>
      <c r="V15" s="30">
        <f>月別集計!V80</f>
        <v>0</v>
      </c>
      <c r="W15" s="32">
        <f>月別集計!W80</f>
        <v>0</v>
      </c>
      <c r="X15" s="22">
        <f>月別集計!X80</f>
        <v>0</v>
      </c>
      <c r="Y15" s="22">
        <f>月別集計!Y80</f>
        <v>0</v>
      </c>
      <c r="Z15" s="22">
        <f>月別集計!Z80</f>
        <v>0</v>
      </c>
      <c r="AA15" s="22">
        <f>月別集計!AA80</f>
        <v>0</v>
      </c>
      <c r="AB15" s="22">
        <f>月別集計!AB80</f>
        <v>0</v>
      </c>
      <c r="AC15" s="34">
        <f>月別集計!AC80</f>
        <v>0</v>
      </c>
    </row>
    <row r="16" spans="1:29" x14ac:dyDescent="0.15">
      <c r="A16" s="63"/>
      <c r="B16" s="25" t="s">
        <v>90</v>
      </c>
      <c r="C16" s="22">
        <f>月別集計!C90</f>
        <v>0</v>
      </c>
      <c r="D16" s="22">
        <f>月別集計!D90</f>
        <v>0</v>
      </c>
      <c r="E16" s="22">
        <f>月別集計!E90</f>
        <v>0</v>
      </c>
      <c r="F16" s="22">
        <f>月別集計!F90</f>
        <v>0</v>
      </c>
      <c r="G16" s="22">
        <f>月別集計!G90</f>
        <v>0</v>
      </c>
      <c r="H16" s="22">
        <f>月別集計!H90</f>
        <v>0</v>
      </c>
      <c r="I16" s="22">
        <f>月別集計!I90</f>
        <v>0</v>
      </c>
      <c r="J16" s="22">
        <f>月別集計!J90</f>
        <v>0</v>
      </c>
      <c r="K16" s="22">
        <f>月別集計!K90</f>
        <v>0</v>
      </c>
      <c r="L16" s="22">
        <f>月別集計!L90</f>
        <v>0</v>
      </c>
      <c r="M16" s="22">
        <f>月別集計!M90</f>
        <v>0</v>
      </c>
      <c r="N16" s="22">
        <f>月別集計!N90</f>
        <v>0</v>
      </c>
      <c r="O16" s="22">
        <f>月別集計!O90</f>
        <v>0</v>
      </c>
      <c r="P16" s="28">
        <f>月別集計!P90</f>
        <v>0</v>
      </c>
      <c r="Q16" s="22">
        <f>月別集計!Q90</f>
        <v>0</v>
      </c>
      <c r="R16" s="22">
        <f>月別集計!R90</f>
        <v>0</v>
      </c>
      <c r="S16" s="22">
        <f>月別集計!S90</f>
        <v>0</v>
      </c>
      <c r="T16" s="22">
        <f>月別集計!T90</f>
        <v>0</v>
      </c>
      <c r="U16" s="22">
        <f>月別集計!U90</f>
        <v>0</v>
      </c>
      <c r="V16" s="30">
        <f>月別集計!V90</f>
        <v>0</v>
      </c>
      <c r="W16" s="32">
        <f>月別集計!W90</f>
        <v>0</v>
      </c>
      <c r="X16" s="22">
        <f>月別集計!X90</f>
        <v>0</v>
      </c>
      <c r="Y16" s="22">
        <f>月別集計!Y90</f>
        <v>0</v>
      </c>
      <c r="Z16" s="22">
        <f>月別集計!Z90</f>
        <v>0</v>
      </c>
      <c r="AA16" s="22">
        <f>月別集計!AA90</f>
        <v>0</v>
      </c>
      <c r="AB16" s="22">
        <f>月別集計!AB90</f>
        <v>0</v>
      </c>
      <c r="AC16" s="34">
        <f>月別集計!AC90</f>
        <v>0</v>
      </c>
    </row>
    <row r="17" spans="1:29" x14ac:dyDescent="0.15">
      <c r="A17" s="63"/>
      <c r="B17" s="38" t="s">
        <v>80</v>
      </c>
      <c r="C17" s="39">
        <f>SUM(C12:C16)</f>
        <v>0</v>
      </c>
      <c r="D17" s="39">
        <f t="shared" ref="D17" si="2">SUM(D12:D16)</f>
        <v>0</v>
      </c>
      <c r="E17" s="39">
        <f t="shared" ref="E17" si="3">SUM(E12:E16)</f>
        <v>0</v>
      </c>
      <c r="F17" s="39">
        <f t="shared" ref="F17" si="4">SUM(F12:F16)</f>
        <v>0</v>
      </c>
      <c r="G17" s="39">
        <f t="shared" ref="G17" si="5">SUM(G12:G16)</f>
        <v>0</v>
      </c>
      <c r="H17" s="39">
        <f t="shared" ref="H17" si="6">SUM(H12:H16)</f>
        <v>0</v>
      </c>
      <c r="I17" s="39">
        <f t="shared" ref="I17" si="7">SUM(I12:I16)</f>
        <v>0</v>
      </c>
      <c r="J17" s="39">
        <f t="shared" ref="J17" si="8">SUM(J12:J16)</f>
        <v>0</v>
      </c>
      <c r="K17" s="39">
        <f t="shared" ref="K17" si="9">SUM(K12:K16)</f>
        <v>0</v>
      </c>
      <c r="L17" s="39">
        <f t="shared" ref="L17" si="10">SUM(L12:L16)</f>
        <v>0</v>
      </c>
      <c r="M17" s="39">
        <f t="shared" ref="M17" si="11">SUM(M12:M16)</f>
        <v>0</v>
      </c>
      <c r="N17" s="39">
        <f t="shared" ref="N17" si="12">SUM(N12:N16)</f>
        <v>0</v>
      </c>
      <c r="O17" s="39">
        <f t="shared" ref="O17" si="13">SUM(O12:O16)</f>
        <v>0</v>
      </c>
      <c r="P17" s="28">
        <f t="shared" ref="P17" si="14">SUM(P12:P16)</f>
        <v>0</v>
      </c>
      <c r="Q17" s="39">
        <f t="shared" ref="Q17" si="15">SUM(Q12:Q16)</f>
        <v>0</v>
      </c>
      <c r="R17" s="39">
        <f t="shared" ref="R17" si="16">SUM(R12:R16)</f>
        <v>0</v>
      </c>
      <c r="S17" s="39">
        <f t="shared" ref="S17" si="17">SUM(S12:S16)</f>
        <v>0</v>
      </c>
      <c r="T17" s="39">
        <f t="shared" ref="T17" si="18">SUM(T12:T16)</f>
        <v>0</v>
      </c>
      <c r="U17" s="39">
        <f t="shared" ref="U17" si="19">SUM(U12:U16)</f>
        <v>0</v>
      </c>
      <c r="V17" s="30">
        <f t="shared" ref="V17" si="20">SUM(V12:V16)</f>
        <v>0</v>
      </c>
      <c r="W17" s="32">
        <f t="shared" ref="W17" si="21">SUM(W12:W16)</f>
        <v>0</v>
      </c>
      <c r="X17" s="39">
        <f t="shared" ref="X17" si="22">SUM(X12:X16)</f>
        <v>0</v>
      </c>
      <c r="Y17" s="39">
        <f t="shared" ref="Y17" si="23">SUM(Y12:Y16)</f>
        <v>0</v>
      </c>
      <c r="Z17" s="39">
        <f t="shared" ref="Z17" si="24">SUM(Z12:Z16)</f>
        <v>0</v>
      </c>
      <c r="AA17" s="39">
        <f t="shared" ref="AA17:AB17" si="25">SUM(AA12:AA16)</f>
        <v>0</v>
      </c>
      <c r="AB17" s="39">
        <f t="shared" si="25"/>
        <v>0</v>
      </c>
      <c r="AC17" s="34">
        <f t="shared" ref="AC17" si="26">SUM(AC12:AC16)</f>
        <v>0</v>
      </c>
    </row>
    <row r="19" spans="1:29" x14ac:dyDescent="0.15">
      <c r="A19" s="63" t="s">
        <v>91</v>
      </c>
      <c r="B19" s="64" t="s">
        <v>82</v>
      </c>
      <c r="C19" s="65" t="s">
        <v>41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2" t="s">
        <v>51</v>
      </c>
      <c r="R19" s="62"/>
      <c r="S19" s="62"/>
      <c r="T19" s="62"/>
      <c r="U19" s="62"/>
      <c r="V19" s="62"/>
      <c r="W19" s="31"/>
      <c r="X19" s="53" t="s">
        <v>53</v>
      </c>
      <c r="Y19" s="54"/>
      <c r="Z19" s="54"/>
      <c r="AA19" s="54"/>
      <c r="AB19" s="55"/>
      <c r="AC19" s="34"/>
    </row>
    <row r="20" spans="1:29" x14ac:dyDescent="0.15">
      <c r="A20" s="63"/>
      <c r="B20" s="64"/>
      <c r="C20" s="24" t="s">
        <v>8</v>
      </c>
      <c r="D20" s="24" t="s">
        <v>10</v>
      </c>
      <c r="E20" s="24" t="s">
        <v>11</v>
      </c>
      <c r="F20" s="24" t="s">
        <v>12</v>
      </c>
      <c r="G20" s="24" t="s">
        <v>13</v>
      </c>
      <c r="H20" s="24" t="s">
        <v>14</v>
      </c>
      <c r="I20" s="24" t="s">
        <v>15</v>
      </c>
      <c r="J20" s="24" t="s">
        <v>17</v>
      </c>
      <c r="K20" s="24" t="s">
        <v>16</v>
      </c>
      <c r="L20" s="24" t="s">
        <v>19</v>
      </c>
      <c r="M20" s="24" t="s">
        <v>20</v>
      </c>
      <c r="N20" s="24" t="s">
        <v>18</v>
      </c>
      <c r="O20" s="24" t="s">
        <v>34</v>
      </c>
      <c r="P20" s="27" t="s">
        <v>40</v>
      </c>
      <c r="Q20" s="24" t="s">
        <v>42</v>
      </c>
      <c r="R20" s="24" t="s">
        <v>43</v>
      </c>
      <c r="S20" s="24" t="s">
        <v>44</v>
      </c>
      <c r="T20" s="24" t="s">
        <v>45</v>
      </c>
      <c r="U20" s="24" t="s">
        <v>46</v>
      </c>
      <c r="V20" s="29" t="s">
        <v>52</v>
      </c>
      <c r="W20" s="31" t="s">
        <v>73</v>
      </c>
      <c r="X20" s="24" t="s">
        <v>21</v>
      </c>
      <c r="Y20" s="24" t="s">
        <v>69</v>
      </c>
      <c r="Z20" s="24" t="s">
        <v>70</v>
      </c>
      <c r="AA20" s="24" t="s">
        <v>53</v>
      </c>
      <c r="AB20" s="50" t="s">
        <v>109</v>
      </c>
      <c r="AC20" s="33" t="s">
        <v>50</v>
      </c>
    </row>
    <row r="21" spans="1:29" x14ac:dyDescent="0.15">
      <c r="A21" s="63"/>
      <c r="B21" s="25" t="s">
        <v>92</v>
      </c>
      <c r="C21" s="22">
        <f>月別集計!C100</f>
        <v>0</v>
      </c>
      <c r="D21" s="22">
        <f>月別集計!D100</f>
        <v>0</v>
      </c>
      <c r="E21" s="22">
        <f>月別集計!E100</f>
        <v>0</v>
      </c>
      <c r="F21" s="22">
        <f>月別集計!F100</f>
        <v>0</v>
      </c>
      <c r="G21" s="22">
        <f>月別集計!G100</f>
        <v>0</v>
      </c>
      <c r="H21" s="22">
        <f>月別集計!H100</f>
        <v>0</v>
      </c>
      <c r="I21" s="22">
        <f>月別集計!I100</f>
        <v>0</v>
      </c>
      <c r="J21" s="22">
        <f>月別集計!J100</f>
        <v>0</v>
      </c>
      <c r="K21" s="22">
        <f>月別集計!K100</f>
        <v>0</v>
      </c>
      <c r="L21" s="22">
        <f>月別集計!L100</f>
        <v>0</v>
      </c>
      <c r="M21" s="22">
        <f>月別集計!M100</f>
        <v>0</v>
      </c>
      <c r="N21" s="22">
        <f>月別集計!N100</f>
        <v>0</v>
      </c>
      <c r="O21" s="22">
        <f>月別集計!O100</f>
        <v>0</v>
      </c>
      <c r="P21" s="28">
        <f>月別集計!P100</f>
        <v>0</v>
      </c>
      <c r="Q21" s="22">
        <f>月別集計!Q100</f>
        <v>0</v>
      </c>
      <c r="R21" s="22">
        <f>月別集計!R100</f>
        <v>0</v>
      </c>
      <c r="S21" s="22">
        <f>月別集計!S100</f>
        <v>0</v>
      </c>
      <c r="T21" s="22">
        <f>月別集計!T100</f>
        <v>0</v>
      </c>
      <c r="U21" s="22">
        <f>月別集計!U100</f>
        <v>0</v>
      </c>
      <c r="V21" s="30">
        <f>月別集計!V100</f>
        <v>0</v>
      </c>
      <c r="W21" s="32">
        <f>月別集計!W100</f>
        <v>0</v>
      </c>
      <c r="X21" s="22">
        <f>月別集計!X100</f>
        <v>0</v>
      </c>
      <c r="Y21" s="22">
        <f>月別集計!Y100</f>
        <v>0</v>
      </c>
      <c r="Z21" s="22">
        <f>月別集計!Z100</f>
        <v>0</v>
      </c>
      <c r="AA21" s="22">
        <f>月別集計!AA100</f>
        <v>0</v>
      </c>
      <c r="AB21" s="22">
        <f>月別集計!AB100</f>
        <v>0</v>
      </c>
      <c r="AC21" s="34">
        <f>月別集計!AC100</f>
        <v>0</v>
      </c>
    </row>
    <row r="22" spans="1:29" x14ac:dyDescent="0.15">
      <c r="A22" s="63"/>
      <c r="B22" s="25" t="s">
        <v>93</v>
      </c>
      <c r="C22" s="22">
        <f>月別集計!C109</f>
        <v>0</v>
      </c>
      <c r="D22" s="22">
        <f>月別集計!D109</f>
        <v>0</v>
      </c>
      <c r="E22" s="22">
        <f>月別集計!E109</f>
        <v>0</v>
      </c>
      <c r="F22" s="22">
        <f>月別集計!F109</f>
        <v>0</v>
      </c>
      <c r="G22" s="22">
        <f>月別集計!G109</f>
        <v>0</v>
      </c>
      <c r="H22" s="22">
        <f>月別集計!H109</f>
        <v>0</v>
      </c>
      <c r="I22" s="22">
        <f>月別集計!I109</f>
        <v>0</v>
      </c>
      <c r="J22" s="22">
        <f>月別集計!J109</f>
        <v>0</v>
      </c>
      <c r="K22" s="22">
        <f>月別集計!K109</f>
        <v>0</v>
      </c>
      <c r="L22" s="22">
        <f>月別集計!L109</f>
        <v>0</v>
      </c>
      <c r="M22" s="22">
        <f>月別集計!M109</f>
        <v>0</v>
      </c>
      <c r="N22" s="22">
        <f>月別集計!N109</f>
        <v>0</v>
      </c>
      <c r="O22" s="22">
        <f>月別集計!O109</f>
        <v>0</v>
      </c>
      <c r="P22" s="28">
        <f>月別集計!P109</f>
        <v>0</v>
      </c>
      <c r="Q22" s="22">
        <f>月別集計!Q109</f>
        <v>0</v>
      </c>
      <c r="R22" s="22">
        <f>月別集計!R109</f>
        <v>0</v>
      </c>
      <c r="S22" s="22">
        <f>月別集計!S109</f>
        <v>0</v>
      </c>
      <c r="T22" s="22">
        <f>月別集計!T109</f>
        <v>0</v>
      </c>
      <c r="U22" s="22">
        <f>月別集計!U109</f>
        <v>0</v>
      </c>
      <c r="V22" s="30">
        <f>月別集計!V109</f>
        <v>0</v>
      </c>
      <c r="W22" s="32">
        <f>月別集計!W109</f>
        <v>0</v>
      </c>
      <c r="X22" s="22">
        <f>月別集計!X109</f>
        <v>0</v>
      </c>
      <c r="Y22" s="22">
        <f>月別集計!Y109</f>
        <v>0</v>
      </c>
      <c r="Z22" s="22">
        <f>月別集計!Z109</f>
        <v>0</v>
      </c>
      <c r="AA22" s="22">
        <f>月別集計!AA109</f>
        <v>0</v>
      </c>
      <c r="AB22" s="22">
        <f>月別集計!AB109</f>
        <v>0</v>
      </c>
      <c r="AC22" s="34">
        <f>月別集計!AC109</f>
        <v>0</v>
      </c>
    </row>
    <row r="23" spans="1:29" x14ac:dyDescent="0.15">
      <c r="A23" s="63"/>
      <c r="B23" s="25" t="s">
        <v>94</v>
      </c>
      <c r="C23" s="22">
        <f>月別集計!C119</f>
        <v>0</v>
      </c>
      <c r="D23" s="22">
        <f>月別集計!D119</f>
        <v>0</v>
      </c>
      <c r="E23" s="22">
        <f>月別集計!E119</f>
        <v>0</v>
      </c>
      <c r="F23" s="22">
        <f>月別集計!F119</f>
        <v>0</v>
      </c>
      <c r="G23" s="22">
        <f>月別集計!G119</f>
        <v>0</v>
      </c>
      <c r="H23" s="22">
        <f>月別集計!H119</f>
        <v>0</v>
      </c>
      <c r="I23" s="22">
        <f>月別集計!I119</f>
        <v>0</v>
      </c>
      <c r="J23" s="22">
        <f>月別集計!J119</f>
        <v>0</v>
      </c>
      <c r="K23" s="22">
        <f>月別集計!K119</f>
        <v>0</v>
      </c>
      <c r="L23" s="22">
        <f>月別集計!L119</f>
        <v>0</v>
      </c>
      <c r="M23" s="22">
        <f>月別集計!M119</f>
        <v>0</v>
      </c>
      <c r="N23" s="22">
        <f>月別集計!N119</f>
        <v>0</v>
      </c>
      <c r="O23" s="22">
        <f>月別集計!O119</f>
        <v>0</v>
      </c>
      <c r="P23" s="28">
        <f>月別集計!P119</f>
        <v>0</v>
      </c>
      <c r="Q23" s="22">
        <f>月別集計!Q119</f>
        <v>0</v>
      </c>
      <c r="R23" s="22">
        <f>月別集計!R119</f>
        <v>0</v>
      </c>
      <c r="S23" s="22">
        <f>月別集計!S119</f>
        <v>0</v>
      </c>
      <c r="T23" s="22">
        <f>月別集計!T119</f>
        <v>0</v>
      </c>
      <c r="U23" s="22">
        <f>月別集計!U119</f>
        <v>0</v>
      </c>
      <c r="V23" s="30">
        <f>月別集計!V119</f>
        <v>0</v>
      </c>
      <c r="W23" s="32">
        <f>月別集計!W119</f>
        <v>0</v>
      </c>
      <c r="X23" s="22">
        <f>月別集計!X119</f>
        <v>0</v>
      </c>
      <c r="Y23" s="22">
        <f>月別集計!Y119</f>
        <v>0</v>
      </c>
      <c r="Z23" s="22">
        <f>月別集計!Z119</f>
        <v>0</v>
      </c>
      <c r="AA23" s="22">
        <f>月別集計!AA119</f>
        <v>0</v>
      </c>
      <c r="AB23" s="22">
        <f>月別集計!AB119</f>
        <v>0</v>
      </c>
      <c r="AC23" s="34">
        <f>月別集計!AC119</f>
        <v>0</v>
      </c>
    </row>
    <row r="24" spans="1:29" x14ac:dyDescent="0.15">
      <c r="A24" s="63"/>
      <c r="B24" s="38" t="s">
        <v>80</v>
      </c>
      <c r="C24" s="39">
        <f>SUM(C21:C23)</f>
        <v>0</v>
      </c>
      <c r="D24" s="39">
        <f t="shared" ref="D24" si="27">SUM(D21:D23)</f>
        <v>0</v>
      </c>
      <c r="E24" s="39">
        <f t="shared" ref="E24" si="28">SUM(E21:E23)</f>
        <v>0</v>
      </c>
      <c r="F24" s="39">
        <f t="shared" ref="F24" si="29">SUM(F21:F23)</f>
        <v>0</v>
      </c>
      <c r="G24" s="39">
        <f t="shared" ref="G24" si="30">SUM(G21:G23)</f>
        <v>0</v>
      </c>
      <c r="H24" s="39">
        <f t="shared" ref="H24" si="31">SUM(H21:H23)</f>
        <v>0</v>
      </c>
      <c r="I24" s="39">
        <f t="shared" ref="I24" si="32">SUM(I21:I23)</f>
        <v>0</v>
      </c>
      <c r="J24" s="39">
        <f t="shared" ref="J24" si="33">SUM(J21:J23)</f>
        <v>0</v>
      </c>
      <c r="K24" s="39">
        <f t="shared" ref="K24" si="34">SUM(K21:K23)</f>
        <v>0</v>
      </c>
      <c r="L24" s="39">
        <f t="shared" ref="L24" si="35">SUM(L21:L23)</f>
        <v>0</v>
      </c>
      <c r="M24" s="39">
        <f t="shared" ref="M24" si="36">SUM(M21:M23)</f>
        <v>0</v>
      </c>
      <c r="N24" s="39">
        <f t="shared" ref="N24" si="37">SUM(N21:N23)</f>
        <v>0</v>
      </c>
      <c r="O24" s="39">
        <f t="shared" ref="O24" si="38">SUM(O21:O23)</f>
        <v>0</v>
      </c>
      <c r="P24" s="28">
        <f t="shared" ref="P24" si="39">SUM(P21:P23)</f>
        <v>0</v>
      </c>
      <c r="Q24" s="39">
        <f t="shared" ref="Q24" si="40">SUM(Q21:Q23)</f>
        <v>0</v>
      </c>
      <c r="R24" s="39">
        <f t="shared" ref="R24" si="41">SUM(R21:R23)</f>
        <v>0</v>
      </c>
      <c r="S24" s="39">
        <f t="shared" ref="S24" si="42">SUM(S21:S23)</f>
        <v>0</v>
      </c>
      <c r="T24" s="39">
        <f t="shared" ref="T24" si="43">SUM(T21:T23)</f>
        <v>0</v>
      </c>
      <c r="U24" s="39">
        <f t="shared" ref="U24" si="44">SUM(U21:U23)</f>
        <v>0</v>
      </c>
      <c r="V24" s="30">
        <f t="shared" ref="V24" si="45">SUM(V21:V23)</f>
        <v>0</v>
      </c>
      <c r="W24" s="32">
        <f t="shared" ref="W24" si="46">SUM(W21:W23)</f>
        <v>0</v>
      </c>
      <c r="X24" s="39">
        <f t="shared" ref="X24" si="47">SUM(X21:X23)</f>
        <v>0</v>
      </c>
      <c r="Y24" s="39">
        <f t="shared" ref="Y24" si="48">SUM(Y21:Y23)</f>
        <v>0</v>
      </c>
      <c r="Z24" s="39">
        <f t="shared" ref="Z24" si="49">SUM(Z21:Z23)</f>
        <v>0</v>
      </c>
      <c r="AA24" s="39">
        <f t="shared" ref="AA24:AB24" si="50">SUM(AA21:AA23)</f>
        <v>0</v>
      </c>
      <c r="AB24" s="39">
        <f t="shared" si="50"/>
        <v>0</v>
      </c>
      <c r="AC24" s="34">
        <f t="shared" ref="AC24" si="51">SUM(AC21:AC23)</f>
        <v>0</v>
      </c>
    </row>
    <row r="26" spans="1:29" x14ac:dyDescent="0.15">
      <c r="A26" s="63" t="s">
        <v>95</v>
      </c>
      <c r="B26" s="64"/>
      <c r="C26" s="65" t="s">
        <v>41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2" t="s">
        <v>51</v>
      </c>
      <c r="R26" s="62"/>
      <c r="S26" s="62"/>
      <c r="T26" s="62"/>
      <c r="U26" s="62"/>
      <c r="V26" s="62"/>
      <c r="W26" s="31"/>
      <c r="X26" s="53" t="s">
        <v>53</v>
      </c>
      <c r="Y26" s="54"/>
      <c r="Z26" s="54"/>
      <c r="AA26" s="54"/>
      <c r="AB26" s="55"/>
      <c r="AC26" s="34"/>
    </row>
    <row r="27" spans="1:29" x14ac:dyDescent="0.15">
      <c r="A27" s="63"/>
      <c r="B27" s="64"/>
      <c r="C27" s="24" t="s">
        <v>8</v>
      </c>
      <c r="D27" s="24" t="s">
        <v>10</v>
      </c>
      <c r="E27" s="24" t="s">
        <v>11</v>
      </c>
      <c r="F27" s="24" t="s">
        <v>12</v>
      </c>
      <c r="G27" s="24" t="s">
        <v>13</v>
      </c>
      <c r="H27" s="24" t="s">
        <v>14</v>
      </c>
      <c r="I27" s="24" t="s">
        <v>15</v>
      </c>
      <c r="J27" s="24" t="s">
        <v>17</v>
      </c>
      <c r="K27" s="24" t="s">
        <v>16</v>
      </c>
      <c r="L27" s="24" t="s">
        <v>19</v>
      </c>
      <c r="M27" s="24" t="s">
        <v>20</v>
      </c>
      <c r="N27" s="24" t="s">
        <v>18</v>
      </c>
      <c r="O27" s="24" t="s">
        <v>34</v>
      </c>
      <c r="P27" s="27" t="s">
        <v>40</v>
      </c>
      <c r="Q27" s="24" t="s">
        <v>42</v>
      </c>
      <c r="R27" s="24" t="s">
        <v>43</v>
      </c>
      <c r="S27" s="24" t="s">
        <v>44</v>
      </c>
      <c r="T27" s="24" t="s">
        <v>45</v>
      </c>
      <c r="U27" s="24" t="s">
        <v>46</v>
      </c>
      <c r="V27" s="29" t="s">
        <v>52</v>
      </c>
      <c r="W27" s="31" t="s">
        <v>73</v>
      </c>
      <c r="X27" s="24" t="s">
        <v>21</v>
      </c>
      <c r="Y27" s="24" t="s">
        <v>69</v>
      </c>
      <c r="Z27" s="24" t="s">
        <v>70</v>
      </c>
      <c r="AA27" s="24" t="s">
        <v>53</v>
      </c>
      <c r="AB27" s="50" t="s">
        <v>109</v>
      </c>
      <c r="AC27" s="33" t="s">
        <v>50</v>
      </c>
    </row>
    <row r="28" spans="1:29" x14ac:dyDescent="0.15">
      <c r="A28" s="63"/>
      <c r="B28" s="25" t="s">
        <v>96</v>
      </c>
      <c r="C28" s="22" t="str">
        <f>IF(基本設定!$E$2="","",VLOOKUP(基本設定!$E$2,標準時数!$A$4:$O$9,2,FALSE))</f>
        <v/>
      </c>
      <c r="D28" s="22" t="str">
        <f>IF(基本設定!$E$2="","",VLOOKUP(基本設定!$E$2,標準時数!$A$4:$O$9,3,FALSE))</f>
        <v/>
      </c>
      <c r="E28" s="22" t="str">
        <f>IF(基本設定!$E$2="","",VLOOKUP(基本設定!$E$2,標準時数!$A$4:$O$9,4,FALSE))</f>
        <v/>
      </c>
      <c r="F28" s="22" t="str">
        <f>IF(基本設定!$E$2="","",VLOOKUP(基本設定!$E$2,標準時数!$A$4:$O$9,5,FALSE))</f>
        <v/>
      </c>
      <c r="G28" s="22" t="str">
        <f>IF(基本設定!$E$2="","",VLOOKUP(基本設定!$E$2,標準時数!$A$4:$O$9,6,FALSE))</f>
        <v/>
      </c>
      <c r="H28" s="22" t="str">
        <f>IF(基本設定!$E$2="","",VLOOKUP(基本設定!$E$2,標準時数!$A$4:$O$9,7,FALSE))</f>
        <v/>
      </c>
      <c r="I28" s="22" t="str">
        <f>IF(基本設定!$E$2="","",VLOOKUP(基本設定!$E$2,標準時数!$A$4:$O$9,8,FALSE))</f>
        <v/>
      </c>
      <c r="J28" s="22" t="str">
        <f>IF(基本設定!$E$2="","",VLOOKUP(基本設定!$E$2,標準時数!$A$4:$O$9,9,FALSE))</f>
        <v/>
      </c>
      <c r="K28" s="22" t="str">
        <f>IF(基本設定!$E$2="","",VLOOKUP(基本設定!$E$2,標準時数!$A$4:$O$9,10,FALSE))</f>
        <v/>
      </c>
      <c r="L28" s="22" t="str">
        <f>IF(基本設定!$E$2="","",VLOOKUP(基本設定!$E$2,標準時数!$A$4:$O$9,11,FALSE))</f>
        <v/>
      </c>
      <c r="M28" s="22" t="str">
        <f>IF(基本設定!$E$2="","",VLOOKUP(基本設定!$E$2,標準時数!$A$4:$O$9,12,FALSE))</f>
        <v/>
      </c>
      <c r="N28" s="22" t="str">
        <f>IF(基本設定!$E$2="","",VLOOKUP(基本設定!$E$2,標準時数!$A$4:$O$9,13,FALSE))</f>
        <v/>
      </c>
      <c r="O28" s="22" t="str">
        <f>IF(基本設定!$E$2="","",VLOOKUP(基本設定!$E$2,標準時数!$A$4:$O$9,14,FALSE))</f>
        <v/>
      </c>
      <c r="P28" s="28" t="str">
        <f>IF(基本設定!$E$2="","",VLOOKUP(基本設定!$E$2,標準時数!$A$4:$O$9,15,FALSE))</f>
        <v/>
      </c>
      <c r="Q28" s="48"/>
      <c r="R28" s="48"/>
      <c r="S28" s="48"/>
      <c r="T28" s="48"/>
      <c r="U28" s="48"/>
      <c r="V28" s="30">
        <f>SUM(Q28:U28)</f>
        <v>0</v>
      </c>
      <c r="W28" s="32" t="str">
        <f>IFERROR(P28+V28,"")</f>
        <v/>
      </c>
      <c r="X28" s="48"/>
      <c r="Y28" s="48"/>
      <c r="Z28" s="48"/>
      <c r="AA28" s="48"/>
      <c r="AB28" s="48"/>
      <c r="AC28" s="34">
        <f>SUM(W28:AA28)</f>
        <v>0</v>
      </c>
    </row>
    <row r="29" spans="1:29" x14ac:dyDescent="0.15">
      <c r="A29" s="63"/>
      <c r="B29" s="25" t="s">
        <v>97</v>
      </c>
      <c r="C29" s="22">
        <f>C8+C17+C24</f>
        <v>0</v>
      </c>
      <c r="D29" s="22">
        <f t="shared" ref="D29:AC29" si="52">D8+D17+D24</f>
        <v>0</v>
      </c>
      <c r="E29" s="22">
        <f t="shared" si="52"/>
        <v>0</v>
      </c>
      <c r="F29" s="22">
        <f t="shared" si="52"/>
        <v>0</v>
      </c>
      <c r="G29" s="22">
        <f t="shared" si="52"/>
        <v>0</v>
      </c>
      <c r="H29" s="22">
        <f t="shared" si="52"/>
        <v>0</v>
      </c>
      <c r="I29" s="22">
        <f t="shared" si="52"/>
        <v>0</v>
      </c>
      <c r="J29" s="22">
        <f t="shared" si="52"/>
        <v>0</v>
      </c>
      <c r="K29" s="22">
        <f t="shared" si="52"/>
        <v>0</v>
      </c>
      <c r="L29" s="22">
        <f t="shared" si="52"/>
        <v>0</v>
      </c>
      <c r="M29" s="22">
        <f t="shared" si="52"/>
        <v>0</v>
      </c>
      <c r="N29" s="22">
        <f t="shared" si="52"/>
        <v>0</v>
      </c>
      <c r="O29" s="22">
        <f t="shared" si="52"/>
        <v>0</v>
      </c>
      <c r="P29" s="28">
        <f t="shared" si="52"/>
        <v>0</v>
      </c>
      <c r="Q29" s="22">
        <f t="shared" si="52"/>
        <v>0</v>
      </c>
      <c r="R29" s="22">
        <f t="shared" si="52"/>
        <v>0</v>
      </c>
      <c r="S29" s="22">
        <f t="shared" si="52"/>
        <v>0</v>
      </c>
      <c r="T29" s="22">
        <f t="shared" si="52"/>
        <v>0</v>
      </c>
      <c r="U29" s="22">
        <f t="shared" si="52"/>
        <v>0</v>
      </c>
      <c r="V29" s="30">
        <f t="shared" si="52"/>
        <v>0</v>
      </c>
      <c r="W29" s="32">
        <f t="shared" si="52"/>
        <v>0</v>
      </c>
      <c r="X29" s="22">
        <f t="shared" si="52"/>
        <v>0</v>
      </c>
      <c r="Y29" s="22">
        <f t="shared" si="52"/>
        <v>0</v>
      </c>
      <c r="Z29" s="22">
        <f t="shared" si="52"/>
        <v>0</v>
      </c>
      <c r="AA29" s="22">
        <f t="shared" si="52"/>
        <v>0</v>
      </c>
      <c r="AB29" s="22">
        <f t="shared" ref="AB29" si="53">AB8+AB17+AB24</f>
        <v>0</v>
      </c>
      <c r="AC29" s="34">
        <f t="shared" si="52"/>
        <v>0</v>
      </c>
    </row>
    <row r="30" spans="1:29" x14ac:dyDescent="0.15">
      <c r="A30" s="63"/>
      <c r="B30" s="36" t="s">
        <v>98</v>
      </c>
      <c r="C30" s="37" t="str">
        <f>IFERROR(C29-C28,"")</f>
        <v/>
      </c>
      <c r="D30" s="37" t="str">
        <f t="shared" ref="D30:AC30" si="54">IFERROR(D29-D28,"")</f>
        <v/>
      </c>
      <c r="E30" s="37" t="str">
        <f t="shared" si="54"/>
        <v/>
      </c>
      <c r="F30" s="37" t="str">
        <f t="shared" si="54"/>
        <v/>
      </c>
      <c r="G30" s="37" t="str">
        <f t="shared" si="54"/>
        <v/>
      </c>
      <c r="H30" s="37" t="str">
        <f t="shared" si="54"/>
        <v/>
      </c>
      <c r="I30" s="37" t="str">
        <f t="shared" si="54"/>
        <v/>
      </c>
      <c r="J30" s="37" t="str">
        <f t="shared" si="54"/>
        <v/>
      </c>
      <c r="K30" s="37" t="str">
        <f t="shared" si="54"/>
        <v/>
      </c>
      <c r="L30" s="37" t="str">
        <f t="shared" si="54"/>
        <v/>
      </c>
      <c r="M30" s="37" t="str">
        <f t="shared" si="54"/>
        <v/>
      </c>
      <c r="N30" s="37" t="str">
        <f t="shared" si="54"/>
        <v/>
      </c>
      <c r="O30" s="37" t="str">
        <f t="shared" si="54"/>
        <v/>
      </c>
      <c r="P30" s="37" t="str">
        <f t="shared" si="54"/>
        <v/>
      </c>
      <c r="Q30" s="37">
        <f t="shared" si="54"/>
        <v>0</v>
      </c>
      <c r="R30" s="37">
        <f t="shared" si="54"/>
        <v>0</v>
      </c>
      <c r="S30" s="37">
        <f t="shared" si="54"/>
        <v>0</v>
      </c>
      <c r="T30" s="37">
        <f t="shared" si="54"/>
        <v>0</v>
      </c>
      <c r="U30" s="37">
        <f t="shared" si="54"/>
        <v>0</v>
      </c>
      <c r="V30" s="37">
        <f t="shared" si="54"/>
        <v>0</v>
      </c>
      <c r="W30" s="37" t="str">
        <f t="shared" si="54"/>
        <v/>
      </c>
      <c r="X30" s="37">
        <f t="shared" si="54"/>
        <v>0</v>
      </c>
      <c r="Y30" s="37">
        <f t="shared" si="54"/>
        <v>0</v>
      </c>
      <c r="Z30" s="37">
        <f t="shared" si="54"/>
        <v>0</v>
      </c>
      <c r="AA30" s="37">
        <f t="shared" si="54"/>
        <v>0</v>
      </c>
      <c r="AB30" s="37">
        <f t="shared" ref="AB30" si="55">IFERROR(AB29-AB28,"")</f>
        <v>0</v>
      </c>
      <c r="AC30" s="37">
        <f t="shared" si="54"/>
        <v>0</v>
      </c>
    </row>
    <row r="32" spans="1:29" x14ac:dyDescent="0.15">
      <c r="Q32" t="s">
        <v>102</v>
      </c>
    </row>
  </sheetData>
  <sheetProtection sheet="1" objects="1" scenarios="1"/>
  <mergeCells count="21">
    <mergeCell ref="X2:AB2"/>
    <mergeCell ref="X10:AB10"/>
    <mergeCell ref="X19:AB19"/>
    <mergeCell ref="B1:I1"/>
    <mergeCell ref="A19:A24"/>
    <mergeCell ref="B19:B20"/>
    <mergeCell ref="C19:P19"/>
    <mergeCell ref="Q19:V19"/>
    <mergeCell ref="A2:A8"/>
    <mergeCell ref="A10:A17"/>
    <mergeCell ref="C2:P2"/>
    <mergeCell ref="Q2:V2"/>
    <mergeCell ref="B2:B3"/>
    <mergeCell ref="B10:B11"/>
    <mergeCell ref="C10:P10"/>
    <mergeCell ref="Q10:V10"/>
    <mergeCell ref="A26:A30"/>
    <mergeCell ref="B26:B27"/>
    <mergeCell ref="C26:P26"/>
    <mergeCell ref="Q26:V26"/>
    <mergeCell ref="X26:AB26"/>
  </mergeCells>
  <phoneticPr fontId="1"/>
  <conditionalFormatting sqref="C30:AC3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AA9"/>
  <sheetViews>
    <sheetView workbookViewId="0">
      <selection activeCell="F16" sqref="F16"/>
    </sheetView>
  </sheetViews>
  <sheetFormatPr defaultRowHeight="14.25" x14ac:dyDescent="0.15"/>
  <cols>
    <col min="1" max="1" width="2.5" bestFit="1" customWidth="1"/>
    <col min="2" max="13" width="5.5" bestFit="1" customWidth="1"/>
    <col min="14" max="14" width="7.5" bestFit="1" customWidth="1"/>
    <col min="15" max="20" width="5.5" bestFit="1" customWidth="1"/>
    <col min="21" max="21" width="7.5" bestFit="1" customWidth="1"/>
    <col min="22" max="22" width="5.5" bestFit="1" customWidth="1"/>
    <col min="23" max="23" width="6.5" bestFit="1" customWidth="1"/>
    <col min="24" max="25" width="7.5" bestFit="1" customWidth="1"/>
    <col min="26" max="26" width="7.375" bestFit="1" customWidth="1"/>
    <col min="27" max="27" width="7.5" bestFit="1" customWidth="1"/>
  </cols>
  <sheetData>
    <row r="2" spans="1:27" x14ac:dyDescent="0.15">
      <c r="A2" s="22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41"/>
      <c r="Q2" s="41"/>
      <c r="R2" s="41"/>
      <c r="S2" s="41"/>
      <c r="T2" s="41"/>
      <c r="U2" s="41"/>
      <c r="V2" s="43"/>
      <c r="W2" s="41"/>
      <c r="X2" s="41"/>
      <c r="Y2" s="41"/>
      <c r="Z2" s="41"/>
      <c r="AA2" s="42"/>
    </row>
    <row r="3" spans="1:27" x14ac:dyDescent="0.15">
      <c r="A3" s="22"/>
      <c r="B3" s="24" t="s">
        <v>8</v>
      </c>
      <c r="C3" s="24" t="s">
        <v>10</v>
      </c>
      <c r="D3" s="24" t="s">
        <v>11</v>
      </c>
      <c r="E3" s="24" t="s">
        <v>12</v>
      </c>
      <c r="F3" s="24" t="s">
        <v>13</v>
      </c>
      <c r="G3" s="24" t="s">
        <v>14</v>
      </c>
      <c r="H3" s="24" t="s">
        <v>15</v>
      </c>
      <c r="I3" s="24" t="s">
        <v>17</v>
      </c>
      <c r="J3" s="24" t="s">
        <v>16</v>
      </c>
      <c r="K3" s="24" t="s">
        <v>19</v>
      </c>
      <c r="L3" s="24" t="s">
        <v>20</v>
      </c>
      <c r="M3" s="24" t="s">
        <v>18</v>
      </c>
      <c r="N3" s="24" t="s">
        <v>34</v>
      </c>
      <c r="O3" s="27" t="s">
        <v>40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x14ac:dyDescent="0.15">
      <c r="A4" s="22">
        <v>1</v>
      </c>
      <c r="B4" s="22">
        <v>306</v>
      </c>
      <c r="C4" s="22"/>
      <c r="D4" s="22">
        <v>136</v>
      </c>
      <c r="E4" s="22"/>
      <c r="F4" s="22">
        <v>102</v>
      </c>
      <c r="G4" s="22">
        <v>68</v>
      </c>
      <c r="H4" s="22">
        <v>68</v>
      </c>
      <c r="I4" s="22"/>
      <c r="J4" s="22">
        <v>102</v>
      </c>
      <c r="K4" s="22">
        <v>34</v>
      </c>
      <c r="L4" s="22">
        <v>34</v>
      </c>
      <c r="M4" s="22"/>
      <c r="N4" s="22"/>
      <c r="O4" s="22">
        <v>850</v>
      </c>
    </row>
    <row r="5" spans="1:27" x14ac:dyDescent="0.15">
      <c r="A5" s="22">
        <v>2</v>
      </c>
      <c r="B5" s="22">
        <v>315</v>
      </c>
      <c r="C5" s="22"/>
      <c r="D5" s="22">
        <v>175</v>
      </c>
      <c r="E5" s="22"/>
      <c r="F5" s="22">
        <v>105</v>
      </c>
      <c r="G5" s="22">
        <v>70</v>
      </c>
      <c r="H5" s="22">
        <v>70</v>
      </c>
      <c r="I5" s="22"/>
      <c r="J5" s="22">
        <v>105</v>
      </c>
      <c r="K5" s="22">
        <v>35</v>
      </c>
      <c r="L5" s="22">
        <v>35</v>
      </c>
      <c r="M5" s="22"/>
      <c r="N5" s="22"/>
      <c r="O5" s="22">
        <v>910</v>
      </c>
    </row>
    <row r="6" spans="1:27" x14ac:dyDescent="0.15">
      <c r="A6" s="22">
        <v>3</v>
      </c>
      <c r="B6" s="22">
        <v>245</v>
      </c>
      <c r="C6" s="22">
        <v>70</v>
      </c>
      <c r="D6" s="22">
        <v>175</v>
      </c>
      <c r="E6" s="22">
        <v>90</v>
      </c>
      <c r="F6" s="22"/>
      <c r="G6" s="22">
        <v>60</v>
      </c>
      <c r="H6" s="22">
        <v>60</v>
      </c>
      <c r="I6" s="22"/>
      <c r="J6" s="22">
        <v>105</v>
      </c>
      <c r="K6" s="22">
        <v>35</v>
      </c>
      <c r="L6" s="22">
        <v>35</v>
      </c>
      <c r="M6" s="22">
        <v>70</v>
      </c>
      <c r="N6" s="22"/>
      <c r="O6" s="22">
        <v>945</v>
      </c>
    </row>
    <row r="7" spans="1:27" x14ac:dyDescent="0.15">
      <c r="A7" s="22">
        <v>4</v>
      </c>
      <c r="B7" s="22">
        <v>245</v>
      </c>
      <c r="C7" s="22">
        <v>90</v>
      </c>
      <c r="D7" s="22">
        <v>175</v>
      </c>
      <c r="E7" s="22">
        <v>105</v>
      </c>
      <c r="F7" s="22"/>
      <c r="G7" s="22">
        <v>60</v>
      </c>
      <c r="H7" s="22">
        <v>60</v>
      </c>
      <c r="I7" s="22"/>
      <c r="J7" s="22">
        <v>105</v>
      </c>
      <c r="K7" s="22">
        <v>35</v>
      </c>
      <c r="L7" s="22">
        <v>35</v>
      </c>
      <c r="M7" s="22">
        <v>70</v>
      </c>
      <c r="N7" s="22"/>
      <c r="O7" s="22">
        <v>980</v>
      </c>
    </row>
    <row r="8" spans="1:27" x14ac:dyDescent="0.15">
      <c r="A8" s="22">
        <v>5</v>
      </c>
      <c r="B8" s="22">
        <v>175</v>
      </c>
      <c r="C8" s="22">
        <v>100</v>
      </c>
      <c r="D8" s="22">
        <v>175</v>
      </c>
      <c r="E8" s="22">
        <v>105</v>
      </c>
      <c r="F8" s="22"/>
      <c r="G8" s="22">
        <v>50</v>
      </c>
      <c r="H8" s="22">
        <v>50</v>
      </c>
      <c r="I8" s="22">
        <v>60</v>
      </c>
      <c r="J8" s="22">
        <v>90</v>
      </c>
      <c r="K8" s="22">
        <v>35</v>
      </c>
      <c r="L8" s="22">
        <v>35</v>
      </c>
      <c r="M8" s="22">
        <v>70</v>
      </c>
      <c r="N8" s="22">
        <v>35</v>
      </c>
      <c r="O8" s="22">
        <v>980</v>
      </c>
    </row>
    <row r="9" spans="1:27" x14ac:dyDescent="0.15">
      <c r="A9" s="22">
        <v>6</v>
      </c>
      <c r="B9" s="22">
        <v>175</v>
      </c>
      <c r="C9" s="22">
        <v>105</v>
      </c>
      <c r="D9" s="22">
        <v>175</v>
      </c>
      <c r="E9" s="22">
        <v>105</v>
      </c>
      <c r="F9" s="22"/>
      <c r="G9" s="22">
        <v>50</v>
      </c>
      <c r="H9" s="22">
        <v>50</v>
      </c>
      <c r="I9" s="22">
        <v>55</v>
      </c>
      <c r="J9" s="22">
        <v>90</v>
      </c>
      <c r="K9" s="22">
        <v>35</v>
      </c>
      <c r="L9" s="22">
        <v>35</v>
      </c>
      <c r="M9" s="22">
        <v>70</v>
      </c>
      <c r="N9" s="22">
        <v>35</v>
      </c>
      <c r="O9" s="22">
        <v>980</v>
      </c>
    </row>
  </sheetData>
  <mergeCells count="1">
    <mergeCell ref="B2:O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基本設定</vt:lpstr>
      <vt:lpstr>年間一覧表</vt:lpstr>
      <vt:lpstr>月別集計</vt:lpstr>
      <vt:lpstr>学期別集計</vt:lpstr>
      <vt:lpstr>標準時数</vt:lpstr>
      <vt:lpstr>教科名</vt:lpstr>
    </vt:vector>
  </TitlesOfParts>
  <Company>スタジオ・ホリちゃん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堀澤 直樹</dc:creator>
  <cp:lastModifiedBy>horisawa</cp:lastModifiedBy>
  <dcterms:created xsi:type="dcterms:W3CDTF">2011-06-01T02:43:25Z</dcterms:created>
  <dcterms:modified xsi:type="dcterms:W3CDTF">2012-12-28T10:16:42Z</dcterms:modified>
</cp:coreProperties>
</file>